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comments1.xml" ContentType="application/vnd.openxmlformats-officedocument.spreadsheetml.comments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https://d.docs.live.net/5d84da495202b146/LICITAÇÕES/CONSULTORIAS PREFEITURAS/PREFEITURA DE BARREIRINHAS/EDITAIS 2023/CONCORRÊNCIA/CONC.002.2023.PONTES METÁLICAS/ANEXOS/"/>
    </mc:Choice>
  </mc:AlternateContent>
  <xr:revisionPtr revIDLastSave="6" documentId="11_011D79CE5E10C5FEC5218BF427B2BDBD6C404340" xr6:coauthVersionLast="47" xr6:coauthVersionMax="47" xr10:uidLastSave="{C8A4A77A-E1ED-4AFF-B534-0F5675C0698C}"/>
  <bookViews>
    <workbookView xWindow="-108" yWindow="-108" windowWidth="23256" windowHeight="12720" tabRatio="933" activeTab="37" xr2:uid="{00000000-000D-0000-FFFF-FFFF00000000}"/>
  </bookViews>
  <sheets>
    <sheet name="Resumo do Orçamento" sheetId="60" r:id="rId1"/>
    <sheet name="Serviços Preliminares" sheetId="79" r:id="rId2"/>
    <sheet name="MC - Serviços Preliminares" sheetId="80" state="hidden" r:id="rId3"/>
    <sheet name="Orçamento Ata Pontes" sheetId="40" r:id="rId4"/>
    <sheet name="MC - Pov. Cigana" sheetId="39" state="hidden" r:id="rId5"/>
    <sheet name="Orçamento - Santa Rosa" sheetId="61" state="hidden" r:id="rId6"/>
    <sheet name="MC - Santa Rosa" sheetId="62" state="hidden" r:id="rId7"/>
    <sheet name="Orçamento - Baixão dos Julios" sheetId="63" state="hidden" r:id="rId8"/>
    <sheet name="MC - Baixão dos Julios" sheetId="64" state="hidden" r:id="rId9"/>
    <sheet name="Orçamento - Santa Maria" sheetId="65" state="hidden" r:id="rId10"/>
    <sheet name="MC - Santa Maria" sheetId="66" state="hidden" r:id="rId11"/>
    <sheet name="Orçamento - Piquizeiro" sheetId="67" state="hidden" r:id="rId12"/>
    <sheet name="MC - Piquizeiro" sheetId="68" state="hidden" r:id="rId13"/>
    <sheet name="Orçamento - Santo Inácio" sheetId="69" state="hidden" r:id="rId14"/>
    <sheet name="MC - Santo Inácio" sheetId="70" state="hidden" r:id="rId15"/>
    <sheet name="Orçamento - Sucuruju" sheetId="71" state="hidden" r:id="rId16"/>
    <sheet name="MC - Sucuruju" sheetId="72" state="hidden" r:id="rId17"/>
    <sheet name="Orçamento - Cedro" sheetId="73" state="hidden" r:id="rId18"/>
    <sheet name="MC - Cedro" sheetId="74" state="hidden" r:id="rId19"/>
    <sheet name="Orçamento - Anibal" sheetId="75" state="hidden" r:id="rId20"/>
    <sheet name="MC - Anibal" sheetId="76" state="hidden" r:id="rId21"/>
    <sheet name="Orçamento - Massagano I" sheetId="77" state="hidden" r:id="rId22"/>
    <sheet name="MC - Massagano I" sheetId="78" state="hidden" r:id="rId23"/>
    <sheet name="Orçamento - Bacabal" sheetId="81" state="hidden" r:id="rId24"/>
    <sheet name="MC - Bacabal" sheetId="82" state="hidden" r:id="rId25"/>
    <sheet name="Orçamento - S.J. das Varas" sheetId="83" state="hidden" r:id="rId26"/>
    <sheet name="MC - S.J. das Varas" sheetId="84" state="hidden" r:id="rId27"/>
    <sheet name="ORCAMENTO" sheetId="7" state="hidden" r:id="rId28"/>
    <sheet name="MEMORIA DE CALCULO" sheetId="8" state="hidden" r:id="rId29"/>
    <sheet name="COMPOSIÇÃO DE PREÇO UNITÁRIO" sheetId="38" state="hidden" r:id="rId30"/>
    <sheet name="Orçamento - Varas" sheetId="85" state="hidden" r:id="rId31"/>
    <sheet name="MC - Varas" sheetId="86" state="hidden" r:id="rId32"/>
    <sheet name="Orçamento - Mamede" sheetId="87" state="hidden" r:id="rId33"/>
    <sheet name="MC - Mamede" sheetId="88" state="hidden" r:id="rId34"/>
    <sheet name="MC - PONTE DE MADEIRA" sheetId="89" state="hidden" r:id="rId35"/>
    <sheet name="MEMÓRIA APOIO - PONE DE MADEIRA" sheetId="90" state="hidden" r:id="rId36"/>
    <sheet name="CPUs" sheetId="41" r:id="rId37"/>
    <sheet name="Cronograma" sheetId="93" r:id="rId38"/>
    <sheet name="ENCARGOS" sheetId="35" r:id="rId39"/>
    <sheet name="BDI " sheetId="36" r:id="rId40"/>
  </sheets>
  <externalReferences>
    <externalReference r:id="rId41"/>
    <externalReference r:id="rId42"/>
    <externalReference r:id="rId43"/>
    <externalReference r:id="rId44"/>
    <externalReference r:id="rId45"/>
    <externalReference r:id="rId46"/>
    <externalReference r:id="rId47"/>
  </externalReferences>
  <definedNames>
    <definedName name="____________aga14">#REF!</definedName>
    <definedName name="____________bur3220">#REF!</definedName>
    <definedName name="____________cap20">#REF!</definedName>
    <definedName name="____________cva50">#REF!</definedName>
    <definedName name="____________cva60">#REF!</definedName>
    <definedName name="____________cve45100">#REF!</definedName>
    <definedName name="____________cve90100">#REF!</definedName>
    <definedName name="____________cve9040">#REF!</definedName>
    <definedName name="____________djm10">#REF!</definedName>
    <definedName name="____________djm15">#REF!</definedName>
    <definedName name="____________epl2">#REF!</definedName>
    <definedName name="____________epl5">#REF!</definedName>
    <definedName name="____________fil1">#REF!</definedName>
    <definedName name="____________fil2">#REF!</definedName>
    <definedName name="____________fio12">#REF!</definedName>
    <definedName name="____________fis5">#REF!</definedName>
    <definedName name="____________flf50">#REF!</definedName>
    <definedName name="____________flf60">#REF!</definedName>
    <definedName name="____________fpd12">#REF!</definedName>
    <definedName name="____________fvr10">#REF!</definedName>
    <definedName name="____________itu1">#REF!</definedName>
    <definedName name="____________jla20">#REF!</definedName>
    <definedName name="____________jla32">#REF!</definedName>
    <definedName name="____________lpi100">#REF!</definedName>
    <definedName name="____________lvg10060">#REF!</definedName>
    <definedName name="____________lvp32">#REF!</definedName>
    <definedName name="____________man50">#REF!</definedName>
    <definedName name="____________ope1">#REF!</definedName>
    <definedName name="____________ope2">#REF!</definedName>
    <definedName name="____________ope3">#REF!</definedName>
    <definedName name="____________pne1">#REF!</definedName>
    <definedName name="____________pne2">#REF!</definedName>
    <definedName name="____________ptm6">#REF!</definedName>
    <definedName name="____________qdm3">#REF!</definedName>
    <definedName name="____________rcm10">#REF!</definedName>
    <definedName name="____________rcm15">#REF!</definedName>
    <definedName name="____________rcm20">#REF!</definedName>
    <definedName name="____________rcm5">#REF!</definedName>
    <definedName name="____________res10">#REF!</definedName>
    <definedName name="____________res15">#REF!</definedName>
    <definedName name="____________res5">#REF!</definedName>
    <definedName name="____________rgf60">#REF!</definedName>
    <definedName name="____________rgp1">#REF!</definedName>
    <definedName name="____________tap100">#REF!</definedName>
    <definedName name="____________tba20">#REF!</definedName>
    <definedName name="____________tba32">#REF!</definedName>
    <definedName name="____________tba50">#REF!</definedName>
    <definedName name="____________tba60">#REF!</definedName>
    <definedName name="____________tbe100">#REF!</definedName>
    <definedName name="____________tbe40">#REF!</definedName>
    <definedName name="____________tbe50">#REF!</definedName>
    <definedName name="____________tea32">#REF!</definedName>
    <definedName name="____________tea4560">#REF!</definedName>
    <definedName name="____________tee100">#REF!</definedName>
    <definedName name="____________ter10050">#REF!</definedName>
    <definedName name="____________tlf6">#REF!</definedName>
    <definedName name="____________tub10012">#REF!</definedName>
    <definedName name="____________tub10015">#REF!</definedName>
    <definedName name="____________tub10020">#REF!</definedName>
    <definedName name="____________tub4012">#REF!</definedName>
    <definedName name="____________tub4015">#REF!</definedName>
    <definedName name="____________tub4020">#REF!</definedName>
    <definedName name="____________tub5012">#REF!</definedName>
    <definedName name="____________tub5015">#REF!</definedName>
    <definedName name="____________tub5020">#REF!</definedName>
    <definedName name="____________tub7512">#REF!</definedName>
    <definedName name="____________tub7515">#REF!</definedName>
    <definedName name="____________tub7520">#REF!</definedName>
    <definedName name="____________xlnm.Print_Area_3">#REF!</definedName>
    <definedName name="____________xlnm.Print_Area_4">#REF!</definedName>
    <definedName name="___________aga14">#REF!</definedName>
    <definedName name="___________bur3220">#REF!</definedName>
    <definedName name="___________C930I">#REF!</definedName>
    <definedName name="___________C930P">#REF!</definedName>
    <definedName name="___________C966I">#REF!</definedName>
    <definedName name="___________C966P">#REF!</definedName>
    <definedName name="___________C996P">#REF!</definedName>
    <definedName name="___________cap20">#REF!</definedName>
    <definedName name="___________cva50">#REF!</definedName>
    <definedName name="___________cva60">#REF!</definedName>
    <definedName name="___________cve45100">#REF!</definedName>
    <definedName name="___________cve90100">#REF!</definedName>
    <definedName name="___________cve9040">#REF!</definedName>
    <definedName name="___________djm10">#REF!</definedName>
    <definedName name="___________djm15">#REF!</definedName>
    <definedName name="___________epl2">#REF!</definedName>
    <definedName name="___________epl5">#REF!</definedName>
    <definedName name="___________fil1">#REF!</definedName>
    <definedName name="___________fil2">#REF!</definedName>
    <definedName name="___________fio12">#REF!</definedName>
    <definedName name="___________fis5">#REF!</definedName>
    <definedName name="___________flf50">#REF!</definedName>
    <definedName name="___________flf60">#REF!</definedName>
    <definedName name="___________fpd12">#REF!</definedName>
    <definedName name="___________fvr10">#REF!</definedName>
    <definedName name="___________itu1">#REF!</definedName>
    <definedName name="___________jla20">#REF!</definedName>
    <definedName name="___________jla32">#REF!</definedName>
    <definedName name="___________lpi100">#REF!</definedName>
    <definedName name="___________lvg10060">#REF!</definedName>
    <definedName name="___________lvp32">#REF!</definedName>
    <definedName name="___________man50">#REF!</definedName>
    <definedName name="___________ope1">#REF!</definedName>
    <definedName name="___________ope2">#REF!</definedName>
    <definedName name="___________ope3">#REF!</definedName>
    <definedName name="___________pne1">#REF!</definedName>
    <definedName name="___________pne2">#REF!</definedName>
    <definedName name="___________ptm6">#REF!</definedName>
    <definedName name="___________qdm3">#REF!</definedName>
    <definedName name="___________rcm10">#REF!</definedName>
    <definedName name="___________rcm15">#REF!</definedName>
    <definedName name="___________rcm20">#REF!</definedName>
    <definedName name="___________rcm5">#REF!</definedName>
    <definedName name="___________res10">#REF!</definedName>
    <definedName name="___________res15">#REF!</definedName>
    <definedName name="___________res5">#REF!</definedName>
    <definedName name="___________rgf60">#REF!</definedName>
    <definedName name="___________rgp1">#REF!</definedName>
    <definedName name="___________tap100">#REF!</definedName>
    <definedName name="___________tba20">#REF!</definedName>
    <definedName name="___________tba32">#REF!</definedName>
    <definedName name="___________tba50">#REF!</definedName>
    <definedName name="___________tba60">#REF!</definedName>
    <definedName name="___________tbe100">#REF!</definedName>
    <definedName name="___________tbe40">#REF!</definedName>
    <definedName name="___________tbe50">#REF!</definedName>
    <definedName name="___________tea32">#REF!</definedName>
    <definedName name="___________tea4560">#REF!</definedName>
    <definedName name="___________tee100">#REF!</definedName>
    <definedName name="___________ter10050">#REF!</definedName>
    <definedName name="___________tlf6">#REF!</definedName>
    <definedName name="___________tub10012">#REF!</definedName>
    <definedName name="___________tub10015">#REF!</definedName>
    <definedName name="___________tub10020">#REF!</definedName>
    <definedName name="___________tub4012">#REF!</definedName>
    <definedName name="___________tub4015">#REF!</definedName>
    <definedName name="___________tub4020">#REF!</definedName>
    <definedName name="___________tub5012">#REF!</definedName>
    <definedName name="___________tub5015">#REF!</definedName>
    <definedName name="___________tub5020">#REF!</definedName>
    <definedName name="___________tub7512">#REF!</definedName>
    <definedName name="___________tub7515">#REF!</definedName>
    <definedName name="___________tub7520">#REF!</definedName>
    <definedName name="___________xlnm.Print_Area_3">#REF!</definedName>
    <definedName name="___________xlnm.Print_Area_4">#REF!</definedName>
    <definedName name="__________aga14">#REF!</definedName>
    <definedName name="__________bur3220">#REF!</definedName>
    <definedName name="__________C930I">#REF!</definedName>
    <definedName name="__________C930P">#REF!</definedName>
    <definedName name="__________C966I">#REF!</definedName>
    <definedName name="__________C966P">#REF!</definedName>
    <definedName name="__________C996P">#REF!</definedName>
    <definedName name="__________cap20">#REF!</definedName>
    <definedName name="__________cva50">#REF!</definedName>
    <definedName name="__________cva60">#REF!</definedName>
    <definedName name="__________cve45100">#REF!</definedName>
    <definedName name="__________cve90100">#REF!</definedName>
    <definedName name="__________cve9040">#REF!</definedName>
    <definedName name="__________djm10">#REF!</definedName>
    <definedName name="__________djm15">#REF!</definedName>
    <definedName name="__________epl2">#REF!</definedName>
    <definedName name="__________epl5">#REF!</definedName>
    <definedName name="__________fil1">#REF!</definedName>
    <definedName name="__________fil2">#REF!</definedName>
    <definedName name="__________fio12">#REF!</definedName>
    <definedName name="__________fis5">#REF!</definedName>
    <definedName name="__________flf50">#REF!</definedName>
    <definedName name="__________flf60">#REF!</definedName>
    <definedName name="__________fpd12">#REF!</definedName>
    <definedName name="__________fvr10">#REF!</definedName>
    <definedName name="__________itu1">#REF!</definedName>
    <definedName name="__________jla20">#REF!</definedName>
    <definedName name="__________jla32">#REF!</definedName>
    <definedName name="__________lpi100">#REF!</definedName>
    <definedName name="__________lvg10060">#REF!</definedName>
    <definedName name="__________lvp32">#REF!</definedName>
    <definedName name="__________man50">#REF!</definedName>
    <definedName name="__________ope1">#REF!</definedName>
    <definedName name="__________ope2">#REF!</definedName>
    <definedName name="__________ope3">#REF!</definedName>
    <definedName name="__________pne1">#REF!</definedName>
    <definedName name="__________pne2">#REF!</definedName>
    <definedName name="__________ptm6">#REF!</definedName>
    <definedName name="__________qdm3">#REF!</definedName>
    <definedName name="__________rcm10">#REF!</definedName>
    <definedName name="__________rcm15">#REF!</definedName>
    <definedName name="__________rcm20">#REF!</definedName>
    <definedName name="__________rcm5">#REF!</definedName>
    <definedName name="__________res10">#REF!</definedName>
    <definedName name="__________res15">#REF!</definedName>
    <definedName name="__________res5">#REF!</definedName>
    <definedName name="__________rgf60">#REF!</definedName>
    <definedName name="__________rgp1">#REF!</definedName>
    <definedName name="__________tap100">#REF!</definedName>
    <definedName name="__________tba20">#REF!</definedName>
    <definedName name="__________tba32">#REF!</definedName>
    <definedName name="__________tba50">#REF!</definedName>
    <definedName name="__________tba60">#REF!</definedName>
    <definedName name="__________tbe100">#REF!</definedName>
    <definedName name="__________tbe40">#REF!</definedName>
    <definedName name="__________tbe50">#REF!</definedName>
    <definedName name="__________tea32">#REF!</definedName>
    <definedName name="__________tea4560">#REF!</definedName>
    <definedName name="__________tee100">#REF!</definedName>
    <definedName name="__________ter10050">#REF!</definedName>
    <definedName name="__________tlf6">#REF!</definedName>
    <definedName name="__________tub10012">#REF!</definedName>
    <definedName name="__________tub10015">#REF!</definedName>
    <definedName name="__________tub10020">#REF!</definedName>
    <definedName name="__________tub4012">#REF!</definedName>
    <definedName name="__________tub4015">#REF!</definedName>
    <definedName name="__________tub4020">#REF!</definedName>
    <definedName name="__________tub5012">#REF!</definedName>
    <definedName name="__________tub5015">#REF!</definedName>
    <definedName name="__________tub5020">#REF!</definedName>
    <definedName name="__________tub7512">#REF!</definedName>
    <definedName name="__________tub7515">#REF!</definedName>
    <definedName name="__________tub7520">#REF!</definedName>
    <definedName name="__________xlnm.Print_Area_3">#REF!</definedName>
    <definedName name="__________xlnm.Print_Area_4">#REF!</definedName>
    <definedName name="_________aga14" localSheetId="39">#REF!</definedName>
    <definedName name="_________aga14" localSheetId="38">#REF!</definedName>
    <definedName name="_________aga14">#REF!</definedName>
    <definedName name="_________bur3220" localSheetId="39">#REF!</definedName>
    <definedName name="_________bur3220" localSheetId="38">#REF!</definedName>
    <definedName name="_________bur3220">#REF!</definedName>
    <definedName name="_________C930I">#REF!</definedName>
    <definedName name="_________C930P">#REF!</definedName>
    <definedName name="_________C966I">#REF!</definedName>
    <definedName name="_________C966P">#REF!</definedName>
    <definedName name="_________C996P">#REF!</definedName>
    <definedName name="_________cap20" localSheetId="39">#REF!</definedName>
    <definedName name="_________cap20" localSheetId="38">#REF!</definedName>
    <definedName name="_________cap20">#REF!</definedName>
    <definedName name="_________cva50" localSheetId="39">#REF!</definedName>
    <definedName name="_________cva50" localSheetId="38">#REF!</definedName>
    <definedName name="_________cva50">#REF!</definedName>
    <definedName name="_________cva60" localSheetId="39">#REF!</definedName>
    <definedName name="_________cva60" localSheetId="38">#REF!</definedName>
    <definedName name="_________cva60">#REF!</definedName>
    <definedName name="_________cve45100" localSheetId="39">#REF!</definedName>
    <definedName name="_________cve45100" localSheetId="38">#REF!</definedName>
    <definedName name="_________cve45100">#REF!</definedName>
    <definedName name="_________cve90100" localSheetId="39">#REF!</definedName>
    <definedName name="_________cve90100" localSheetId="38">#REF!</definedName>
    <definedName name="_________cve90100">#REF!</definedName>
    <definedName name="_________cve9040" localSheetId="39">#REF!</definedName>
    <definedName name="_________cve9040" localSheetId="38">#REF!</definedName>
    <definedName name="_________cve9040">#REF!</definedName>
    <definedName name="_________djm10" localSheetId="39">#REF!</definedName>
    <definedName name="_________djm10" localSheetId="38">#REF!</definedName>
    <definedName name="_________djm10">#REF!</definedName>
    <definedName name="_________djm15" localSheetId="39">#REF!</definedName>
    <definedName name="_________djm15" localSheetId="38">#REF!</definedName>
    <definedName name="_________djm15">#REF!</definedName>
    <definedName name="_________epl2" localSheetId="39">#REF!</definedName>
    <definedName name="_________epl2" localSheetId="38">#REF!</definedName>
    <definedName name="_________epl2">#REF!</definedName>
    <definedName name="_________epl5" localSheetId="39">#REF!</definedName>
    <definedName name="_________epl5" localSheetId="38">#REF!</definedName>
    <definedName name="_________epl5">#REF!</definedName>
    <definedName name="_________fil1" localSheetId="39">#REF!</definedName>
    <definedName name="_________fil1" localSheetId="38">#REF!</definedName>
    <definedName name="_________fil1">#REF!</definedName>
    <definedName name="_________fil2" localSheetId="39">#REF!</definedName>
    <definedName name="_________fil2" localSheetId="38">#REF!</definedName>
    <definedName name="_________fil2">#REF!</definedName>
    <definedName name="_________fio12" localSheetId="39">#REF!</definedName>
    <definedName name="_________fio12" localSheetId="38">#REF!</definedName>
    <definedName name="_________fio12">#REF!</definedName>
    <definedName name="_________fis5" localSheetId="39">#REF!</definedName>
    <definedName name="_________fis5" localSheetId="38">#REF!</definedName>
    <definedName name="_________fis5">#REF!</definedName>
    <definedName name="_________flf50" localSheetId="39">#REF!</definedName>
    <definedName name="_________flf50" localSheetId="38">#REF!</definedName>
    <definedName name="_________flf50">#REF!</definedName>
    <definedName name="_________flf60" localSheetId="39">#REF!</definedName>
    <definedName name="_________flf60" localSheetId="38">#REF!</definedName>
    <definedName name="_________flf60">#REF!</definedName>
    <definedName name="_________fpd12" localSheetId="39">#REF!</definedName>
    <definedName name="_________fpd12" localSheetId="38">#REF!</definedName>
    <definedName name="_________fpd12">#REF!</definedName>
    <definedName name="_________fvr10" localSheetId="39">#REF!</definedName>
    <definedName name="_________fvr10" localSheetId="38">#REF!</definedName>
    <definedName name="_________fvr10">#REF!</definedName>
    <definedName name="_________itu1" localSheetId="39">#REF!</definedName>
    <definedName name="_________itu1" localSheetId="38">#REF!</definedName>
    <definedName name="_________itu1">#REF!</definedName>
    <definedName name="_________jla20" localSheetId="39">#REF!</definedName>
    <definedName name="_________jla20" localSheetId="38">#REF!</definedName>
    <definedName name="_________jla20">#REF!</definedName>
    <definedName name="_________jla32" localSheetId="39">#REF!</definedName>
    <definedName name="_________jla32" localSheetId="38">#REF!</definedName>
    <definedName name="_________jla32">#REF!</definedName>
    <definedName name="_________lpi100" localSheetId="39">#REF!</definedName>
    <definedName name="_________lpi100" localSheetId="38">#REF!</definedName>
    <definedName name="_________lpi100">#REF!</definedName>
    <definedName name="_________lvg10060" localSheetId="39">#REF!</definedName>
    <definedName name="_________lvg10060" localSheetId="38">#REF!</definedName>
    <definedName name="_________lvg10060">#REF!</definedName>
    <definedName name="_________lvp32" localSheetId="39">#REF!</definedName>
    <definedName name="_________lvp32" localSheetId="38">#REF!</definedName>
    <definedName name="_________lvp32">#REF!</definedName>
    <definedName name="_________man50" localSheetId="39">#REF!</definedName>
    <definedName name="_________man50" localSheetId="38">#REF!</definedName>
    <definedName name="_________man50">#REF!</definedName>
    <definedName name="_________ope1" localSheetId="39">#REF!</definedName>
    <definedName name="_________ope1" localSheetId="38">#REF!</definedName>
    <definedName name="_________ope1">#REF!</definedName>
    <definedName name="_________ope2" localSheetId="39">#REF!</definedName>
    <definedName name="_________ope2" localSheetId="38">#REF!</definedName>
    <definedName name="_________ope2">#REF!</definedName>
    <definedName name="_________ope3" localSheetId="39">#REF!</definedName>
    <definedName name="_________ope3" localSheetId="38">#REF!</definedName>
    <definedName name="_________ope3">#REF!</definedName>
    <definedName name="_________pne1" localSheetId="39">#REF!</definedName>
    <definedName name="_________pne1" localSheetId="38">#REF!</definedName>
    <definedName name="_________pne1">#REF!</definedName>
    <definedName name="_________pne2" localSheetId="39">#REF!</definedName>
    <definedName name="_________pne2" localSheetId="38">#REF!</definedName>
    <definedName name="_________pne2">#REF!</definedName>
    <definedName name="_________ptm6" localSheetId="39">#REF!</definedName>
    <definedName name="_________ptm6" localSheetId="38">#REF!</definedName>
    <definedName name="_________ptm6">#REF!</definedName>
    <definedName name="_________qdm3" localSheetId="39">#REF!</definedName>
    <definedName name="_________qdm3" localSheetId="38">#REF!</definedName>
    <definedName name="_________qdm3">#REF!</definedName>
    <definedName name="_________rcm10" localSheetId="39">#REF!</definedName>
    <definedName name="_________rcm10" localSheetId="38">#REF!</definedName>
    <definedName name="_________rcm10">#REF!</definedName>
    <definedName name="_________rcm15" localSheetId="39">#REF!</definedName>
    <definedName name="_________rcm15" localSheetId="38">#REF!</definedName>
    <definedName name="_________rcm15">#REF!</definedName>
    <definedName name="_________rcm20" localSheetId="39">#REF!</definedName>
    <definedName name="_________rcm20" localSheetId="38">#REF!</definedName>
    <definedName name="_________rcm20">#REF!</definedName>
    <definedName name="_________rcm5" localSheetId="39">#REF!</definedName>
    <definedName name="_________rcm5" localSheetId="38">#REF!</definedName>
    <definedName name="_________rcm5">#REF!</definedName>
    <definedName name="_________res10" localSheetId="39">#REF!</definedName>
    <definedName name="_________res10" localSheetId="38">#REF!</definedName>
    <definedName name="_________res10">#REF!</definedName>
    <definedName name="_________res15" localSheetId="39">#REF!</definedName>
    <definedName name="_________res15" localSheetId="38">#REF!</definedName>
    <definedName name="_________res15">#REF!</definedName>
    <definedName name="_________res5" localSheetId="39">#REF!</definedName>
    <definedName name="_________res5" localSheetId="38">#REF!</definedName>
    <definedName name="_________res5">#REF!</definedName>
    <definedName name="_________rgf60" localSheetId="39">#REF!</definedName>
    <definedName name="_________rgf60" localSheetId="38">#REF!</definedName>
    <definedName name="_________rgf60">#REF!</definedName>
    <definedName name="_________rgp1" localSheetId="39">#REF!</definedName>
    <definedName name="_________rgp1" localSheetId="38">#REF!</definedName>
    <definedName name="_________rgp1">#REF!</definedName>
    <definedName name="_________tap100" localSheetId="39">#REF!</definedName>
    <definedName name="_________tap100" localSheetId="38">#REF!</definedName>
    <definedName name="_________tap100">#REF!</definedName>
    <definedName name="_________tba20" localSheetId="39">#REF!</definedName>
    <definedName name="_________tba20" localSheetId="38">#REF!</definedName>
    <definedName name="_________tba20">#REF!</definedName>
    <definedName name="_________tba32" localSheetId="39">#REF!</definedName>
    <definedName name="_________tba32" localSheetId="38">#REF!</definedName>
    <definedName name="_________tba32">#REF!</definedName>
    <definedName name="_________tba50" localSheetId="39">#REF!</definedName>
    <definedName name="_________tba50" localSheetId="38">#REF!</definedName>
    <definedName name="_________tba50">#REF!</definedName>
    <definedName name="_________tba60" localSheetId="39">#REF!</definedName>
    <definedName name="_________tba60" localSheetId="38">#REF!</definedName>
    <definedName name="_________tba60">#REF!</definedName>
    <definedName name="_________tbe100" localSheetId="39">#REF!</definedName>
    <definedName name="_________tbe100" localSheetId="38">#REF!</definedName>
    <definedName name="_________tbe100">#REF!</definedName>
    <definedName name="_________tbe40" localSheetId="39">#REF!</definedName>
    <definedName name="_________tbe40" localSheetId="38">#REF!</definedName>
    <definedName name="_________tbe40">#REF!</definedName>
    <definedName name="_________tbe50" localSheetId="39">#REF!</definedName>
    <definedName name="_________tbe50" localSheetId="38">#REF!</definedName>
    <definedName name="_________tbe50">#REF!</definedName>
    <definedName name="_________tea32" localSheetId="39">#REF!</definedName>
    <definedName name="_________tea32" localSheetId="38">#REF!</definedName>
    <definedName name="_________tea32">#REF!</definedName>
    <definedName name="_________tea4560" localSheetId="39">#REF!</definedName>
    <definedName name="_________tea4560" localSheetId="38">#REF!</definedName>
    <definedName name="_________tea4560">#REF!</definedName>
    <definedName name="_________tee100" localSheetId="39">#REF!</definedName>
    <definedName name="_________tee100" localSheetId="38">#REF!</definedName>
    <definedName name="_________tee100">#REF!</definedName>
    <definedName name="_________ter10050" localSheetId="39">#REF!</definedName>
    <definedName name="_________ter10050" localSheetId="38">#REF!</definedName>
    <definedName name="_________ter10050">#REF!</definedName>
    <definedName name="_________tlf6" localSheetId="39">#REF!</definedName>
    <definedName name="_________tlf6" localSheetId="38">#REF!</definedName>
    <definedName name="_________tlf6">#REF!</definedName>
    <definedName name="_________tub10012" localSheetId="39">#REF!</definedName>
    <definedName name="_________tub10012" localSheetId="38">#REF!</definedName>
    <definedName name="_________tub10012">#REF!</definedName>
    <definedName name="_________tub10015" localSheetId="39">#REF!</definedName>
    <definedName name="_________tub10015" localSheetId="38">#REF!</definedName>
    <definedName name="_________tub10015">#REF!</definedName>
    <definedName name="_________tub10020" localSheetId="39">#REF!</definedName>
    <definedName name="_________tub10020" localSheetId="38">#REF!</definedName>
    <definedName name="_________tub10020">#REF!</definedName>
    <definedName name="_________tub4012" localSheetId="39">#REF!</definedName>
    <definedName name="_________tub4012" localSheetId="38">#REF!</definedName>
    <definedName name="_________tub4012">#REF!</definedName>
    <definedName name="_________tub4015" localSheetId="39">#REF!</definedName>
    <definedName name="_________tub4015" localSheetId="38">#REF!</definedName>
    <definedName name="_________tub4015">#REF!</definedName>
    <definedName name="_________tub4020" localSheetId="39">#REF!</definedName>
    <definedName name="_________tub4020" localSheetId="38">#REF!</definedName>
    <definedName name="_________tub4020">#REF!</definedName>
    <definedName name="_________tub5012" localSheetId="39">#REF!</definedName>
    <definedName name="_________tub5012" localSheetId="38">#REF!</definedName>
    <definedName name="_________tub5012">#REF!</definedName>
    <definedName name="_________tub5015" localSheetId="39">#REF!</definedName>
    <definedName name="_________tub5015" localSheetId="38">#REF!</definedName>
    <definedName name="_________tub5015">#REF!</definedName>
    <definedName name="_________tub5020" localSheetId="39">#REF!</definedName>
    <definedName name="_________tub5020" localSheetId="38">#REF!</definedName>
    <definedName name="_________tub5020">#REF!</definedName>
    <definedName name="_________tub7512" localSheetId="39">#REF!</definedName>
    <definedName name="_________tub7512" localSheetId="38">#REF!</definedName>
    <definedName name="_________tub7512">#REF!</definedName>
    <definedName name="_________tub7515" localSheetId="39">#REF!</definedName>
    <definedName name="_________tub7515" localSheetId="38">#REF!</definedName>
    <definedName name="_________tub7515">#REF!</definedName>
    <definedName name="_________tub7520" localSheetId="39">#REF!</definedName>
    <definedName name="_________tub7520" localSheetId="38">#REF!</definedName>
    <definedName name="_________tub7520">#REF!</definedName>
    <definedName name="_________xlnm.Print_Area_3" localSheetId="39">#REF!</definedName>
    <definedName name="_________xlnm.Print_Area_3" localSheetId="38">#REF!</definedName>
    <definedName name="_________xlnm.Print_Area_3">#REF!</definedName>
    <definedName name="_________xlnm.Print_Area_4" localSheetId="39">#REF!</definedName>
    <definedName name="_________xlnm.Print_Area_4" localSheetId="38">#REF!</definedName>
    <definedName name="_________xlnm.Print_Area_4">#REF!</definedName>
    <definedName name="________aga14" localSheetId="39">#REF!</definedName>
    <definedName name="________aga14" localSheetId="38">#REF!</definedName>
    <definedName name="________aga14">#REF!</definedName>
    <definedName name="________bur3220" localSheetId="39">#REF!</definedName>
    <definedName name="________bur3220" localSheetId="38">#REF!</definedName>
    <definedName name="________bur3220">#REF!</definedName>
    <definedName name="________C930I" localSheetId="39">#REF!</definedName>
    <definedName name="________C930I" localSheetId="38">#REF!</definedName>
    <definedName name="________C930I">#REF!</definedName>
    <definedName name="________C930P" localSheetId="39">#REF!</definedName>
    <definedName name="________C930P" localSheetId="38">#REF!</definedName>
    <definedName name="________C930P">#REF!</definedName>
    <definedName name="________C966I" localSheetId="39">#REF!</definedName>
    <definedName name="________C966I" localSheetId="38">#REF!</definedName>
    <definedName name="________C966I">#REF!</definedName>
    <definedName name="________C966P" localSheetId="39">#REF!</definedName>
    <definedName name="________C966P" localSheetId="38">#REF!</definedName>
    <definedName name="________C966P">#REF!</definedName>
    <definedName name="________C996P" localSheetId="39">#REF!</definedName>
    <definedName name="________C996P" localSheetId="38">#REF!</definedName>
    <definedName name="________C996P">#REF!</definedName>
    <definedName name="________cap20" localSheetId="39">#REF!</definedName>
    <definedName name="________cap20" localSheetId="38">#REF!</definedName>
    <definedName name="________cap20">#REF!</definedName>
    <definedName name="________cva50" localSheetId="39">#REF!</definedName>
    <definedName name="________cva50" localSheetId="38">#REF!</definedName>
    <definedName name="________cva50">#REF!</definedName>
    <definedName name="________cva60" localSheetId="39">#REF!</definedName>
    <definedName name="________cva60" localSheetId="38">#REF!</definedName>
    <definedName name="________cva60">#REF!</definedName>
    <definedName name="________cve45100" localSheetId="39">#REF!</definedName>
    <definedName name="________cve45100" localSheetId="38">#REF!</definedName>
    <definedName name="________cve45100">#REF!</definedName>
    <definedName name="________cve90100" localSheetId="39">#REF!</definedName>
    <definedName name="________cve90100" localSheetId="38">#REF!</definedName>
    <definedName name="________cve90100">#REF!</definedName>
    <definedName name="________cve9040" localSheetId="39">#REF!</definedName>
    <definedName name="________cve9040" localSheetId="38">#REF!</definedName>
    <definedName name="________cve9040">#REF!</definedName>
    <definedName name="________djm10" localSheetId="39">#REF!</definedName>
    <definedName name="________djm10" localSheetId="38">#REF!</definedName>
    <definedName name="________djm10">#REF!</definedName>
    <definedName name="________djm15" localSheetId="39">#REF!</definedName>
    <definedName name="________djm15" localSheetId="38">#REF!</definedName>
    <definedName name="________djm15">#REF!</definedName>
    <definedName name="________epl2" localSheetId="39">#REF!</definedName>
    <definedName name="________epl2" localSheetId="38">#REF!</definedName>
    <definedName name="________epl2">#REF!</definedName>
    <definedName name="________epl5" localSheetId="39">#REF!</definedName>
    <definedName name="________epl5" localSheetId="38">#REF!</definedName>
    <definedName name="________epl5">#REF!</definedName>
    <definedName name="________fil1" localSheetId="39">#REF!</definedName>
    <definedName name="________fil1" localSheetId="38">#REF!</definedName>
    <definedName name="________fil1">#REF!</definedName>
    <definedName name="________fil2" localSheetId="39">#REF!</definedName>
    <definedName name="________fil2" localSheetId="38">#REF!</definedName>
    <definedName name="________fil2">#REF!</definedName>
    <definedName name="________fio12" localSheetId="39">#REF!</definedName>
    <definedName name="________fio12" localSheetId="38">#REF!</definedName>
    <definedName name="________fio12">#REF!</definedName>
    <definedName name="________fis5" localSheetId="39">#REF!</definedName>
    <definedName name="________fis5" localSheetId="38">#REF!</definedName>
    <definedName name="________fis5">#REF!</definedName>
    <definedName name="________flf50" localSheetId="39">#REF!</definedName>
    <definedName name="________flf50" localSheetId="38">#REF!</definedName>
    <definedName name="________flf50">#REF!</definedName>
    <definedName name="________flf60" localSheetId="39">#REF!</definedName>
    <definedName name="________flf60" localSheetId="38">#REF!</definedName>
    <definedName name="________flf60">#REF!</definedName>
    <definedName name="________fpd12" localSheetId="39">#REF!</definedName>
    <definedName name="________fpd12" localSheetId="38">#REF!</definedName>
    <definedName name="________fpd12">#REF!</definedName>
    <definedName name="________fvr10" localSheetId="39">#REF!</definedName>
    <definedName name="________fvr10" localSheetId="38">#REF!</definedName>
    <definedName name="________fvr10">#REF!</definedName>
    <definedName name="________itu1" localSheetId="39">#REF!</definedName>
    <definedName name="________itu1" localSheetId="38">#REF!</definedName>
    <definedName name="________itu1">#REF!</definedName>
    <definedName name="________jla20" localSheetId="39">#REF!</definedName>
    <definedName name="________jla20" localSheetId="38">#REF!</definedName>
    <definedName name="________jla20">#REF!</definedName>
    <definedName name="________jla32" localSheetId="39">#REF!</definedName>
    <definedName name="________jla32" localSheetId="38">#REF!</definedName>
    <definedName name="________jla32">#REF!</definedName>
    <definedName name="________lpi100" localSheetId="39">#REF!</definedName>
    <definedName name="________lpi100" localSheetId="38">#REF!</definedName>
    <definedName name="________lpi100">#REF!</definedName>
    <definedName name="________lvg10060" localSheetId="39">#REF!</definedName>
    <definedName name="________lvg10060" localSheetId="38">#REF!</definedName>
    <definedName name="________lvg10060">#REF!</definedName>
    <definedName name="________lvp32" localSheetId="39">#REF!</definedName>
    <definedName name="________lvp32" localSheetId="38">#REF!</definedName>
    <definedName name="________lvp32">#REF!</definedName>
    <definedName name="________man50" localSheetId="39">#REF!</definedName>
    <definedName name="________man50" localSheetId="38">#REF!</definedName>
    <definedName name="________man50">#REF!</definedName>
    <definedName name="________ope1" localSheetId="39">#REF!</definedName>
    <definedName name="________ope1" localSheetId="38">#REF!</definedName>
    <definedName name="________ope1">#REF!</definedName>
    <definedName name="________ope2" localSheetId="39">#REF!</definedName>
    <definedName name="________ope2" localSheetId="38">#REF!</definedName>
    <definedName name="________ope2">#REF!</definedName>
    <definedName name="________ope3" localSheetId="39">#REF!</definedName>
    <definedName name="________ope3" localSheetId="38">#REF!</definedName>
    <definedName name="________ope3">#REF!</definedName>
    <definedName name="________pne1" localSheetId="39">#REF!</definedName>
    <definedName name="________pne1" localSheetId="38">#REF!</definedName>
    <definedName name="________pne1">#REF!</definedName>
    <definedName name="________pne2" localSheetId="39">#REF!</definedName>
    <definedName name="________pne2" localSheetId="38">#REF!</definedName>
    <definedName name="________pne2">#REF!</definedName>
    <definedName name="________ptm6" localSheetId="39">#REF!</definedName>
    <definedName name="________ptm6" localSheetId="38">#REF!</definedName>
    <definedName name="________ptm6">#REF!</definedName>
    <definedName name="________qdm3" localSheetId="39">#REF!</definedName>
    <definedName name="________qdm3" localSheetId="38">#REF!</definedName>
    <definedName name="________qdm3">#REF!</definedName>
    <definedName name="________rcm10" localSheetId="39">#REF!</definedName>
    <definedName name="________rcm10" localSheetId="38">#REF!</definedName>
    <definedName name="________rcm10">#REF!</definedName>
    <definedName name="________rcm15" localSheetId="39">#REF!</definedName>
    <definedName name="________rcm15" localSheetId="38">#REF!</definedName>
    <definedName name="________rcm15">#REF!</definedName>
    <definedName name="________rcm20" localSheetId="39">#REF!</definedName>
    <definedName name="________rcm20" localSheetId="38">#REF!</definedName>
    <definedName name="________rcm20">#REF!</definedName>
    <definedName name="________rcm5" localSheetId="39">#REF!</definedName>
    <definedName name="________rcm5" localSheetId="38">#REF!</definedName>
    <definedName name="________rcm5">#REF!</definedName>
    <definedName name="________res10" localSheetId="39">#REF!</definedName>
    <definedName name="________res10" localSheetId="38">#REF!</definedName>
    <definedName name="________res10">#REF!</definedName>
    <definedName name="________res15" localSheetId="39">#REF!</definedName>
    <definedName name="________res15" localSheetId="38">#REF!</definedName>
    <definedName name="________res15">#REF!</definedName>
    <definedName name="________res5" localSheetId="39">#REF!</definedName>
    <definedName name="________res5" localSheetId="38">#REF!</definedName>
    <definedName name="________res5">#REF!</definedName>
    <definedName name="________rgf60" localSheetId="39">#REF!</definedName>
    <definedName name="________rgf60" localSheetId="38">#REF!</definedName>
    <definedName name="________rgf60">#REF!</definedName>
    <definedName name="________rgp1" localSheetId="39">#REF!</definedName>
    <definedName name="________rgp1" localSheetId="38">#REF!</definedName>
    <definedName name="________rgp1">#REF!</definedName>
    <definedName name="________tap100" localSheetId="39">#REF!</definedName>
    <definedName name="________tap100" localSheetId="38">#REF!</definedName>
    <definedName name="________tap100">#REF!</definedName>
    <definedName name="________tba20" localSheetId="39">#REF!</definedName>
    <definedName name="________tba20" localSheetId="38">#REF!</definedName>
    <definedName name="________tba20">#REF!</definedName>
    <definedName name="________tba32" localSheetId="39">#REF!</definedName>
    <definedName name="________tba32" localSheetId="38">#REF!</definedName>
    <definedName name="________tba32">#REF!</definedName>
    <definedName name="________tba50" localSheetId="39">#REF!</definedName>
    <definedName name="________tba50" localSheetId="38">#REF!</definedName>
    <definedName name="________tba50">#REF!</definedName>
    <definedName name="________tba60" localSheetId="39">#REF!</definedName>
    <definedName name="________tba60" localSheetId="38">#REF!</definedName>
    <definedName name="________tba60">#REF!</definedName>
    <definedName name="________tbe100" localSheetId="39">#REF!</definedName>
    <definedName name="________tbe100" localSheetId="38">#REF!</definedName>
    <definedName name="________tbe100">#REF!</definedName>
    <definedName name="________tbe40" localSheetId="39">#REF!</definedName>
    <definedName name="________tbe40" localSheetId="38">#REF!</definedName>
    <definedName name="________tbe40">#REF!</definedName>
    <definedName name="________tbe50" localSheetId="39">#REF!</definedName>
    <definedName name="________tbe50" localSheetId="38">#REF!</definedName>
    <definedName name="________tbe50">#REF!</definedName>
    <definedName name="________tea32" localSheetId="39">#REF!</definedName>
    <definedName name="________tea32" localSheetId="38">#REF!</definedName>
    <definedName name="________tea32">#REF!</definedName>
    <definedName name="________tea4560" localSheetId="39">#REF!</definedName>
    <definedName name="________tea4560" localSheetId="38">#REF!</definedName>
    <definedName name="________tea4560">#REF!</definedName>
    <definedName name="________tee100" localSheetId="39">#REF!</definedName>
    <definedName name="________tee100" localSheetId="38">#REF!</definedName>
    <definedName name="________tee100">#REF!</definedName>
    <definedName name="________ter10050" localSheetId="39">#REF!</definedName>
    <definedName name="________ter10050" localSheetId="38">#REF!</definedName>
    <definedName name="________ter10050">#REF!</definedName>
    <definedName name="________tlf6" localSheetId="39">#REF!</definedName>
    <definedName name="________tlf6" localSheetId="38">#REF!</definedName>
    <definedName name="________tlf6">#REF!</definedName>
    <definedName name="________tub10012" localSheetId="39">#REF!</definedName>
    <definedName name="________tub10012" localSheetId="38">#REF!</definedName>
    <definedName name="________tub10012">#REF!</definedName>
    <definedName name="________tub10015" localSheetId="39">#REF!</definedName>
    <definedName name="________tub10015" localSheetId="38">#REF!</definedName>
    <definedName name="________tub10015">#REF!</definedName>
    <definedName name="________tub10020" localSheetId="39">#REF!</definedName>
    <definedName name="________tub10020" localSheetId="38">#REF!</definedName>
    <definedName name="________tub10020">#REF!</definedName>
    <definedName name="________tub4012" localSheetId="39">#REF!</definedName>
    <definedName name="________tub4012" localSheetId="38">#REF!</definedName>
    <definedName name="________tub4012">#REF!</definedName>
    <definedName name="________tub4015" localSheetId="39">#REF!</definedName>
    <definedName name="________tub4015" localSheetId="38">#REF!</definedName>
    <definedName name="________tub4015">#REF!</definedName>
    <definedName name="________tub4020" localSheetId="39">#REF!</definedName>
    <definedName name="________tub4020" localSheetId="38">#REF!</definedName>
    <definedName name="________tub4020">#REF!</definedName>
    <definedName name="________tub5012" localSheetId="39">#REF!</definedName>
    <definedName name="________tub5012" localSheetId="38">#REF!</definedName>
    <definedName name="________tub5012">#REF!</definedName>
    <definedName name="________tub5015" localSheetId="39">#REF!</definedName>
    <definedName name="________tub5015" localSheetId="38">#REF!</definedName>
    <definedName name="________tub5015">#REF!</definedName>
    <definedName name="________tub5020" localSheetId="39">#REF!</definedName>
    <definedName name="________tub5020" localSheetId="38">#REF!</definedName>
    <definedName name="________tub5020">#REF!</definedName>
    <definedName name="________tub7512" localSheetId="39">#REF!</definedName>
    <definedName name="________tub7512" localSheetId="38">#REF!</definedName>
    <definedName name="________tub7512">#REF!</definedName>
    <definedName name="________tub7515" localSheetId="39">#REF!</definedName>
    <definedName name="________tub7515" localSheetId="38">#REF!</definedName>
    <definedName name="________tub7515">#REF!</definedName>
    <definedName name="________tub7520" localSheetId="39">#REF!</definedName>
    <definedName name="________tub7520" localSheetId="38">#REF!</definedName>
    <definedName name="________tub7520">#REF!</definedName>
    <definedName name="________xlnm.Print_Area_3" localSheetId="39">#REF!</definedName>
    <definedName name="________xlnm.Print_Area_3" localSheetId="38">#REF!</definedName>
    <definedName name="________xlnm.Print_Area_3">#REF!</definedName>
    <definedName name="________xlnm.Print_Area_4" localSheetId="39">#REF!</definedName>
    <definedName name="________xlnm.Print_Area_4" localSheetId="38">#REF!</definedName>
    <definedName name="________xlnm.Print_Area_4">#REF!</definedName>
    <definedName name="_______aga14" localSheetId="39">#REF!</definedName>
    <definedName name="_______aga14" localSheetId="38">#REF!</definedName>
    <definedName name="_______aga14">#REF!</definedName>
    <definedName name="_______bur3220" localSheetId="39">#REF!</definedName>
    <definedName name="_______bur3220" localSheetId="38">#REF!</definedName>
    <definedName name="_______bur3220">#REF!</definedName>
    <definedName name="_______C930I" localSheetId="39">#REF!</definedName>
    <definedName name="_______C930I" localSheetId="38">#REF!</definedName>
    <definedName name="_______C930I">#REF!</definedName>
    <definedName name="_______C930P" localSheetId="39">#REF!</definedName>
    <definedName name="_______C930P" localSheetId="38">#REF!</definedName>
    <definedName name="_______C930P">#REF!</definedName>
    <definedName name="_______C966I" localSheetId="39">#REF!</definedName>
    <definedName name="_______C966I" localSheetId="38">#REF!</definedName>
    <definedName name="_______C966I">#REF!</definedName>
    <definedName name="_______C966P" localSheetId="39">#REF!</definedName>
    <definedName name="_______C966P" localSheetId="38">#REF!</definedName>
    <definedName name="_______C966P">#REF!</definedName>
    <definedName name="_______C996P" localSheetId="39">#REF!</definedName>
    <definedName name="_______C996P" localSheetId="38">#REF!</definedName>
    <definedName name="_______C996P">#REF!</definedName>
    <definedName name="_______cap20" localSheetId="39">#REF!</definedName>
    <definedName name="_______cap20" localSheetId="38">#REF!</definedName>
    <definedName name="_______cap20">#REF!</definedName>
    <definedName name="_______cva50" localSheetId="39">#REF!</definedName>
    <definedName name="_______cva50" localSheetId="38">#REF!</definedName>
    <definedName name="_______cva50">#REF!</definedName>
    <definedName name="_______cva60" localSheetId="39">#REF!</definedName>
    <definedName name="_______cva60" localSheetId="38">#REF!</definedName>
    <definedName name="_______cva60">#REF!</definedName>
    <definedName name="_______cve45100" localSheetId="39">#REF!</definedName>
    <definedName name="_______cve45100" localSheetId="38">#REF!</definedName>
    <definedName name="_______cve45100">#REF!</definedName>
    <definedName name="_______cve90100" localSheetId="39">#REF!</definedName>
    <definedName name="_______cve90100" localSheetId="38">#REF!</definedName>
    <definedName name="_______cve90100">#REF!</definedName>
    <definedName name="_______cve9040" localSheetId="39">#REF!</definedName>
    <definedName name="_______cve9040" localSheetId="38">#REF!</definedName>
    <definedName name="_______cve9040">#REF!</definedName>
    <definedName name="_______djm10" localSheetId="39">#REF!</definedName>
    <definedName name="_______djm10" localSheetId="38">#REF!</definedName>
    <definedName name="_______djm10">#REF!</definedName>
    <definedName name="_______djm15" localSheetId="39">#REF!</definedName>
    <definedName name="_______djm15" localSheetId="38">#REF!</definedName>
    <definedName name="_______djm15">#REF!</definedName>
    <definedName name="_______epl2" localSheetId="39">#REF!</definedName>
    <definedName name="_______epl2" localSheetId="38">#REF!</definedName>
    <definedName name="_______epl2">#REF!</definedName>
    <definedName name="_______epl5" localSheetId="39">#REF!</definedName>
    <definedName name="_______epl5" localSheetId="38">#REF!</definedName>
    <definedName name="_______epl5">#REF!</definedName>
    <definedName name="_______fil1" localSheetId="39">#REF!</definedName>
    <definedName name="_______fil1" localSheetId="38">#REF!</definedName>
    <definedName name="_______fil1">#REF!</definedName>
    <definedName name="_______fil2" localSheetId="39">#REF!</definedName>
    <definedName name="_______fil2" localSheetId="38">#REF!</definedName>
    <definedName name="_______fil2">#REF!</definedName>
    <definedName name="_______fio12" localSheetId="39">#REF!</definedName>
    <definedName name="_______fio12" localSheetId="38">#REF!</definedName>
    <definedName name="_______fio12">#REF!</definedName>
    <definedName name="_______fis5" localSheetId="39">#REF!</definedName>
    <definedName name="_______fis5" localSheetId="38">#REF!</definedName>
    <definedName name="_______fis5">#REF!</definedName>
    <definedName name="_______flf50" localSheetId="39">#REF!</definedName>
    <definedName name="_______flf50" localSheetId="38">#REF!</definedName>
    <definedName name="_______flf50">#REF!</definedName>
    <definedName name="_______flf60" localSheetId="39">#REF!</definedName>
    <definedName name="_______flf60" localSheetId="38">#REF!</definedName>
    <definedName name="_______flf60">#REF!</definedName>
    <definedName name="_______fpd12" localSheetId="39">#REF!</definedName>
    <definedName name="_______fpd12" localSheetId="38">#REF!</definedName>
    <definedName name="_______fpd12">#REF!</definedName>
    <definedName name="_______fvr10" localSheetId="39">#REF!</definedName>
    <definedName name="_______fvr10" localSheetId="38">#REF!</definedName>
    <definedName name="_______fvr10">#REF!</definedName>
    <definedName name="_______itu1" localSheetId="39">#REF!</definedName>
    <definedName name="_______itu1" localSheetId="38">#REF!</definedName>
    <definedName name="_______itu1">#REF!</definedName>
    <definedName name="_______jla20" localSheetId="39">#REF!</definedName>
    <definedName name="_______jla20" localSheetId="38">#REF!</definedName>
    <definedName name="_______jla20">#REF!</definedName>
    <definedName name="_______jla32" localSheetId="39">#REF!</definedName>
    <definedName name="_______jla32" localSheetId="38">#REF!</definedName>
    <definedName name="_______jla32">#REF!</definedName>
    <definedName name="_______lpi100" localSheetId="39">#REF!</definedName>
    <definedName name="_______lpi100" localSheetId="38">#REF!</definedName>
    <definedName name="_______lpi100">#REF!</definedName>
    <definedName name="_______lvg10060" localSheetId="39">#REF!</definedName>
    <definedName name="_______lvg10060" localSheetId="38">#REF!</definedName>
    <definedName name="_______lvg10060">#REF!</definedName>
    <definedName name="_______lvp32" localSheetId="39">#REF!</definedName>
    <definedName name="_______lvp32" localSheetId="38">#REF!</definedName>
    <definedName name="_______lvp32">#REF!</definedName>
    <definedName name="_______man50" localSheetId="39">#REF!</definedName>
    <definedName name="_______man50" localSheetId="38">#REF!</definedName>
    <definedName name="_______man50">#REF!</definedName>
    <definedName name="_______ope1" localSheetId="39">#REF!</definedName>
    <definedName name="_______ope1" localSheetId="38">#REF!</definedName>
    <definedName name="_______ope1">#REF!</definedName>
    <definedName name="_______ope2" localSheetId="39">#REF!</definedName>
    <definedName name="_______ope2" localSheetId="38">#REF!</definedName>
    <definedName name="_______ope2">#REF!</definedName>
    <definedName name="_______ope3" localSheetId="39">#REF!</definedName>
    <definedName name="_______ope3" localSheetId="38">#REF!</definedName>
    <definedName name="_______ope3">#REF!</definedName>
    <definedName name="_______pne1" localSheetId="39">#REF!</definedName>
    <definedName name="_______pne1" localSheetId="38">#REF!</definedName>
    <definedName name="_______pne1">#REF!</definedName>
    <definedName name="_______pne2" localSheetId="39">#REF!</definedName>
    <definedName name="_______pne2" localSheetId="38">#REF!</definedName>
    <definedName name="_______pne2">#REF!</definedName>
    <definedName name="_______ptm6" localSheetId="39">#REF!</definedName>
    <definedName name="_______ptm6" localSheetId="38">#REF!</definedName>
    <definedName name="_______ptm6">#REF!</definedName>
    <definedName name="_______qdm3" localSheetId="39">#REF!</definedName>
    <definedName name="_______qdm3" localSheetId="38">#REF!</definedName>
    <definedName name="_______qdm3">#REF!</definedName>
    <definedName name="_______rcm10" localSheetId="39">#REF!</definedName>
    <definedName name="_______rcm10" localSheetId="38">#REF!</definedName>
    <definedName name="_______rcm10">#REF!</definedName>
    <definedName name="_______rcm15" localSheetId="39">#REF!</definedName>
    <definedName name="_______rcm15" localSheetId="38">#REF!</definedName>
    <definedName name="_______rcm15">#REF!</definedName>
    <definedName name="_______rcm20" localSheetId="39">#REF!</definedName>
    <definedName name="_______rcm20" localSheetId="38">#REF!</definedName>
    <definedName name="_______rcm20">#REF!</definedName>
    <definedName name="_______rcm5" localSheetId="39">#REF!</definedName>
    <definedName name="_______rcm5" localSheetId="38">#REF!</definedName>
    <definedName name="_______rcm5">#REF!</definedName>
    <definedName name="_______res10" localSheetId="39">#REF!</definedName>
    <definedName name="_______res10" localSheetId="38">#REF!</definedName>
    <definedName name="_______res10">#REF!</definedName>
    <definedName name="_______res15" localSheetId="39">#REF!</definedName>
    <definedName name="_______res15" localSheetId="38">#REF!</definedName>
    <definedName name="_______res15">#REF!</definedName>
    <definedName name="_______res5" localSheetId="39">#REF!</definedName>
    <definedName name="_______res5" localSheetId="38">#REF!</definedName>
    <definedName name="_______res5">#REF!</definedName>
    <definedName name="_______rgf60" localSheetId="39">#REF!</definedName>
    <definedName name="_______rgf60" localSheetId="38">#REF!</definedName>
    <definedName name="_______rgf60">#REF!</definedName>
    <definedName name="_______rgp1" localSheetId="39">#REF!</definedName>
    <definedName name="_______rgp1" localSheetId="38">#REF!</definedName>
    <definedName name="_______rgp1">#REF!</definedName>
    <definedName name="_______tap100" localSheetId="39">#REF!</definedName>
    <definedName name="_______tap100" localSheetId="38">#REF!</definedName>
    <definedName name="_______tap100">#REF!</definedName>
    <definedName name="_______tba20" localSheetId="39">#REF!</definedName>
    <definedName name="_______tba20" localSheetId="38">#REF!</definedName>
    <definedName name="_______tba20">#REF!</definedName>
    <definedName name="_______tba32" localSheetId="39">#REF!</definedName>
    <definedName name="_______tba32" localSheetId="38">#REF!</definedName>
    <definedName name="_______tba32">#REF!</definedName>
    <definedName name="_______tba50" localSheetId="39">#REF!</definedName>
    <definedName name="_______tba50" localSheetId="38">#REF!</definedName>
    <definedName name="_______tba50">#REF!</definedName>
    <definedName name="_______tba60" localSheetId="39">#REF!</definedName>
    <definedName name="_______tba60" localSheetId="38">#REF!</definedName>
    <definedName name="_______tba60">#REF!</definedName>
    <definedName name="_______tbe100" localSheetId="39">#REF!</definedName>
    <definedName name="_______tbe100" localSheetId="38">#REF!</definedName>
    <definedName name="_______tbe100">#REF!</definedName>
    <definedName name="_______tbe40" localSheetId="39">#REF!</definedName>
    <definedName name="_______tbe40" localSheetId="38">#REF!</definedName>
    <definedName name="_______tbe40">#REF!</definedName>
    <definedName name="_______tbe50" localSheetId="39">#REF!</definedName>
    <definedName name="_______tbe50" localSheetId="38">#REF!</definedName>
    <definedName name="_______tbe50">#REF!</definedName>
    <definedName name="_______tea32" localSheetId="39">#REF!</definedName>
    <definedName name="_______tea32" localSheetId="38">#REF!</definedName>
    <definedName name="_______tea32">#REF!</definedName>
    <definedName name="_______tea4560" localSheetId="39">#REF!</definedName>
    <definedName name="_______tea4560" localSheetId="38">#REF!</definedName>
    <definedName name="_______tea4560">#REF!</definedName>
    <definedName name="_______tee100" localSheetId="39">#REF!</definedName>
    <definedName name="_______tee100" localSheetId="38">#REF!</definedName>
    <definedName name="_______tee100">#REF!</definedName>
    <definedName name="_______ter10050" localSheetId="39">#REF!</definedName>
    <definedName name="_______ter10050" localSheetId="38">#REF!</definedName>
    <definedName name="_______ter10050">#REF!</definedName>
    <definedName name="_______tlf6" localSheetId="39">#REF!</definedName>
    <definedName name="_______tlf6" localSheetId="38">#REF!</definedName>
    <definedName name="_______tlf6">#REF!</definedName>
    <definedName name="_______tub10012" localSheetId="39">#REF!</definedName>
    <definedName name="_______tub10012" localSheetId="38">#REF!</definedName>
    <definedName name="_______tub10012">#REF!</definedName>
    <definedName name="_______tub10015" localSheetId="39">#REF!</definedName>
    <definedName name="_______tub10015" localSheetId="38">#REF!</definedName>
    <definedName name="_______tub10015">#REF!</definedName>
    <definedName name="_______tub10020" localSheetId="39">#REF!</definedName>
    <definedName name="_______tub10020" localSheetId="38">#REF!</definedName>
    <definedName name="_______tub10020">#REF!</definedName>
    <definedName name="_______tub4012" localSheetId="39">#REF!</definedName>
    <definedName name="_______tub4012" localSheetId="38">#REF!</definedName>
    <definedName name="_______tub4012">#REF!</definedName>
    <definedName name="_______tub4015" localSheetId="39">#REF!</definedName>
    <definedName name="_______tub4015" localSheetId="38">#REF!</definedName>
    <definedName name="_______tub4015">#REF!</definedName>
    <definedName name="_______tub4020" localSheetId="39">#REF!</definedName>
    <definedName name="_______tub4020" localSheetId="38">#REF!</definedName>
    <definedName name="_______tub4020">#REF!</definedName>
    <definedName name="_______tub5012" localSheetId="39">#REF!</definedName>
    <definedName name="_______tub5012" localSheetId="38">#REF!</definedName>
    <definedName name="_______tub5012">#REF!</definedName>
    <definedName name="_______tub5015" localSheetId="39">#REF!</definedName>
    <definedName name="_______tub5015" localSheetId="38">#REF!</definedName>
    <definedName name="_______tub5015">#REF!</definedName>
    <definedName name="_______tub5020" localSheetId="39">#REF!</definedName>
    <definedName name="_______tub5020" localSheetId="38">#REF!</definedName>
    <definedName name="_______tub5020">#REF!</definedName>
    <definedName name="_______tub7512" localSheetId="39">#REF!</definedName>
    <definedName name="_______tub7512" localSheetId="38">#REF!</definedName>
    <definedName name="_______tub7512">#REF!</definedName>
    <definedName name="_______tub7515" localSheetId="39">#REF!</definedName>
    <definedName name="_______tub7515" localSheetId="38">#REF!</definedName>
    <definedName name="_______tub7515">#REF!</definedName>
    <definedName name="_______tub7520" localSheetId="39">#REF!</definedName>
    <definedName name="_______tub7520" localSheetId="38">#REF!</definedName>
    <definedName name="_______tub7520">#REF!</definedName>
    <definedName name="_______xlnm.Print_Area_3" localSheetId="39">#REF!</definedName>
    <definedName name="_______xlnm.Print_Area_3" localSheetId="38">#REF!</definedName>
    <definedName name="_______xlnm.Print_Area_3">#REF!</definedName>
    <definedName name="_______xlnm.Print_Area_4" localSheetId="39">#REF!</definedName>
    <definedName name="_______xlnm.Print_Area_4" localSheetId="38">#REF!</definedName>
    <definedName name="_______xlnm.Print_Area_4">#REF!</definedName>
    <definedName name="______aga14" localSheetId="39">#REF!</definedName>
    <definedName name="______aga14" localSheetId="38">#REF!</definedName>
    <definedName name="______aga14">#REF!</definedName>
    <definedName name="______bur3220" localSheetId="39">#REF!</definedName>
    <definedName name="______bur3220" localSheetId="38">#REF!</definedName>
    <definedName name="______bur3220">#REF!</definedName>
    <definedName name="______C930I" localSheetId="39">#REF!</definedName>
    <definedName name="______C930I" localSheetId="38">#REF!</definedName>
    <definedName name="______C930I">#REF!</definedName>
    <definedName name="______C930P" localSheetId="39">#REF!</definedName>
    <definedName name="______C930P" localSheetId="38">#REF!</definedName>
    <definedName name="______C930P">#REF!</definedName>
    <definedName name="______C966I" localSheetId="39">#REF!</definedName>
    <definedName name="______C966I" localSheetId="38">#REF!</definedName>
    <definedName name="______C966I">#REF!</definedName>
    <definedName name="______C966P" localSheetId="39">#REF!</definedName>
    <definedName name="______C966P" localSheetId="38">#REF!</definedName>
    <definedName name="______C966P">#REF!</definedName>
    <definedName name="______C996P" localSheetId="39">#REF!</definedName>
    <definedName name="______C996P" localSheetId="38">#REF!</definedName>
    <definedName name="______C996P">#REF!</definedName>
    <definedName name="______cap20" localSheetId="39">#REF!</definedName>
    <definedName name="______cap20" localSheetId="38">#REF!</definedName>
    <definedName name="______cap20">#REF!</definedName>
    <definedName name="______cva50" localSheetId="39">#REF!</definedName>
    <definedName name="______cva50" localSheetId="38">#REF!</definedName>
    <definedName name="______cva50">#REF!</definedName>
    <definedName name="______cva60" localSheetId="39">#REF!</definedName>
    <definedName name="______cva60" localSheetId="38">#REF!</definedName>
    <definedName name="______cva60">#REF!</definedName>
    <definedName name="______cve45100" localSheetId="39">#REF!</definedName>
    <definedName name="______cve45100" localSheetId="38">#REF!</definedName>
    <definedName name="______cve45100">#REF!</definedName>
    <definedName name="______cve90100" localSheetId="39">#REF!</definedName>
    <definedName name="______cve90100" localSheetId="38">#REF!</definedName>
    <definedName name="______cve90100">#REF!</definedName>
    <definedName name="______cve9040" localSheetId="39">#REF!</definedName>
    <definedName name="______cve9040" localSheetId="38">#REF!</definedName>
    <definedName name="______cve9040">#REF!</definedName>
    <definedName name="______djm10" localSheetId="39">#REF!</definedName>
    <definedName name="______djm10" localSheetId="38">#REF!</definedName>
    <definedName name="______djm10">#REF!</definedName>
    <definedName name="______djm15" localSheetId="39">#REF!</definedName>
    <definedName name="______djm15" localSheetId="38">#REF!</definedName>
    <definedName name="______djm15">#REF!</definedName>
    <definedName name="______epl2" localSheetId="39">#REF!</definedName>
    <definedName name="______epl2" localSheetId="38">#REF!</definedName>
    <definedName name="______epl2">#REF!</definedName>
    <definedName name="______epl5" localSheetId="39">#REF!</definedName>
    <definedName name="______epl5" localSheetId="38">#REF!</definedName>
    <definedName name="______epl5">#REF!</definedName>
    <definedName name="______fil1" localSheetId="39">#REF!</definedName>
    <definedName name="______fil1" localSheetId="38">#REF!</definedName>
    <definedName name="______fil1">#REF!</definedName>
    <definedName name="______fil2" localSheetId="39">#REF!</definedName>
    <definedName name="______fil2" localSheetId="38">#REF!</definedName>
    <definedName name="______fil2">#REF!</definedName>
    <definedName name="______fio12" localSheetId="39">#REF!</definedName>
    <definedName name="______fio12" localSheetId="38">#REF!</definedName>
    <definedName name="______fio12">#REF!</definedName>
    <definedName name="______fis5" localSheetId="39">#REF!</definedName>
    <definedName name="______fis5" localSheetId="38">#REF!</definedName>
    <definedName name="______fis5">#REF!</definedName>
    <definedName name="______flf50" localSheetId="39">#REF!</definedName>
    <definedName name="______flf50" localSheetId="38">#REF!</definedName>
    <definedName name="______flf50">#REF!</definedName>
    <definedName name="______flf60" localSheetId="39">#REF!</definedName>
    <definedName name="______flf60" localSheetId="38">#REF!</definedName>
    <definedName name="______flf60">#REF!</definedName>
    <definedName name="______fpd12" localSheetId="39">#REF!</definedName>
    <definedName name="______fpd12" localSheetId="38">#REF!</definedName>
    <definedName name="______fpd12">#REF!</definedName>
    <definedName name="______fvr10" localSheetId="39">#REF!</definedName>
    <definedName name="______fvr10" localSheetId="38">#REF!</definedName>
    <definedName name="______fvr10">#REF!</definedName>
    <definedName name="______itu1" localSheetId="39">#REF!</definedName>
    <definedName name="______itu1" localSheetId="38">#REF!</definedName>
    <definedName name="______itu1">#REF!</definedName>
    <definedName name="______jla20" localSheetId="39">#REF!</definedName>
    <definedName name="______jla20" localSheetId="38">#REF!</definedName>
    <definedName name="______jla20">#REF!</definedName>
    <definedName name="______jla32" localSheetId="39">#REF!</definedName>
    <definedName name="______jla32" localSheetId="38">#REF!</definedName>
    <definedName name="______jla32">#REF!</definedName>
    <definedName name="______lpi100" localSheetId="39">#REF!</definedName>
    <definedName name="______lpi100" localSheetId="38">#REF!</definedName>
    <definedName name="______lpi100">#REF!</definedName>
    <definedName name="______lvg10060" localSheetId="39">#REF!</definedName>
    <definedName name="______lvg10060" localSheetId="38">#REF!</definedName>
    <definedName name="______lvg10060">#REF!</definedName>
    <definedName name="______lvp32" localSheetId="39">#REF!</definedName>
    <definedName name="______lvp32" localSheetId="38">#REF!</definedName>
    <definedName name="______lvp32">#REF!</definedName>
    <definedName name="______man50" localSheetId="39">#REF!</definedName>
    <definedName name="______man50" localSheetId="38">#REF!</definedName>
    <definedName name="______man50">#REF!</definedName>
    <definedName name="______ope1" localSheetId="39">#REF!</definedName>
    <definedName name="______ope1" localSheetId="38">#REF!</definedName>
    <definedName name="______ope1">#REF!</definedName>
    <definedName name="______ope2" localSheetId="39">#REF!</definedName>
    <definedName name="______ope2" localSheetId="38">#REF!</definedName>
    <definedName name="______ope2">#REF!</definedName>
    <definedName name="______ope3" localSheetId="39">#REF!</definedName>
    <definedName name="______ope3" localSheetId="38">#REF!</definedName>
    <definedName name="______ope3">#REF!</definedName>
    <definedName name="______pne1" localSheetId="39">#REF!</definedName>
    <definedName name="______pne1" localSheetId="38">#REF!</definedName>
    <definedName name="______pne1">#REF!</definedName>
    <definedName name="______pne2" localSheetId="39">#REF!</definedName>
    <definedName name="______pne2" localSheetId="38">#REF!</definedName>
    <definedName name="______pne2">#REF!</definedName>
    <definedName name="______ptm6" localSheetId="39">#REF!</definedName>
    <definedName name="______ptm6" localSheetId="38">#REF!</definedName>
    <definedName name="______ptm6">#REF!</definedName>
    <definedName name="______qdm3" localSheetId="39">#REF!</definedName>
    <definedName name="______qdm3" localSheetId="38">#REF!</definedName>
    <definedName name="______qdm3">#REF!</definedName>
    <definedName name="______rcm10" localSheetId="39">#REF!</definedName>
    <definedName name="______rcm10" localSheetId="38">#REF!</definedName>
    <definedName name="______rcm10">#REF!</definedName>
    <definedName name="______rcm15" localSheetId="39">#REF!</definedName>
    <definedName name="______rcm15" localSheetId="38">#REF!</definedName>
    <definedName name="______rcm15">#REF!</definedName>
    <definedName name="______rcm20" localSheetId="39">#REF!</definedName>
    <definedName name="______rcm20" localSheetId="38">#REF!</definedName>
    <definedName name="______rcm20">#REF!</definedName>
    <definedName name="______rcm5" localSheetId="39">#REF!</definedName>
    <definedName name="______rcm5" localSheetId="38">#REF!</definedName>
    <definedName name="______rcm5">#REF!</definedName>
    <definedName name="______res10" localSheetId="39">#REF!</definedName>
    <definedName name="______res10" localSheetId="38">#REF!</definedName>
    <definedName name="______res10">#REF!</definedName>
    <definedName name="______res15" localSheetId="39">#REF!</definedName>
    <definedName name="______res15" localSheetId="38">#REF!</definedName>
    <definedName name="______res15">#REF!</definedName>
    <definedName name="______res5" localSheetId="39">#REF!</definedName>
    <definedName name="______res5" localSheetId="38">#REF!</definedName>
    <definedName name="______res5">#REF!</definedName>
    <definedName name="______rgf60" localSheetId="39">#REF!</definedName>
    <definedName name="______rgf60" localSheetId="38">#REF!</definedName>
    <definedName name="______rgf60">#REF!</definedName>
    <definedName name="______rgp1" localSheetId="39">#REF!</definedName>
    <definedName name="______rgp1" localSheetId="38">#REF!</definedName>
    <definedName name="______rgp1">#REF!</definedName>
    <definedName name="______tap100" localSheetId="39">#REF!</definedName>
    <definedName name="______tap100" localSheetId="38">#REF!</definedName>
    <definedName name="______tap100">#REF!</definedName>
    <definedName name="______tba20" localSheetId="39">#REF!</definedName>
    <definedName name="______tba20" localSheetId="38">#REF!</definedName>
    <definedName name="______tba20">#REF!</definedName>
    <definedName name="______tba32" localSheetId="39">#REF!</definedName>
    <definedName name="______tba32" localSheetId="38">#REF!</definedName>
    <definedName name="______tba32">#REF!</definedName>
    <definedName name="______tba50" localSheetId="39">#REF!</definedName>
    <definedName name="______tba50" localSheetId="38">#REF!</definedName>
    <definedName name="______tba50">#REF!</definedName>
    <definedName name="______tba60" localSheetId="39">#REF!</definedName>
    <definedName name="______tba60" localSheetId="38">#REF!</definedName>
    <definedName name="______tba60">#REF!</definedName>
    <definedName name="______tbe100" localSheetId="39">#REF!</definedName>
    <definedName name="______tbe100" localSheetId="38">#REF!</definedName>
    <definedName name="______tbe100">#REF!</definedName>
    <definedName name="______tbe40" localSheetId="39">#REF!</definedName>
    <definedName name="______tbe40" localSheetId="38">#REF!</definedName>
    <definedName name="______tbe40">#REF!</definedName>
    <definedName name="______tbe50" localSheetId="39">#REF!</definedName>
    <definedName name="______tbe50" localSheetId="38">#REF!</definedName>
    <definedName name="______tbe50">#REF!</definedName>
    <definedName name="______tea32" localSheetId="39">#REF!</definedName>
    <definedName name="______tea32" localSheetId="38">#REF!</definedName>
    <definedName name="______tea32">#REF!</definedName>
    <definedName name="______tea4560" localSheetId="39">#REF!</definedName>
    <definedName name="______tea4560" localSheetId="38">#REF!</definedName>
    <definedName name="______tea4560">#REF!</definedName>
    <definedName name="______tee100" localSheetId="39">#REF!</definedName>
    <definedName name="______tee100" localSheetId="38">#REF!</definedName>
    <definedName name="______tee100">#REF!</definedName>
    <definedName name="______ter10050" localSheetId="39">#REF!</definedName>
    <definedName name="______ter10050" localSheetId="38">#REF!</definedName>
    <definedName name="______ter10050">#REF!</definedName>
    <definedName name="______tlf6" localSheetId="39">#REF!</definedName>
    <definedName name="______tlf6" localSheetId="38">#REF!</definedName>
    <definedName name="______tlf6">#REF!</definedName>
    <definedName name="______tub10012" localSheetId="39">#REF!</definedName>
    <definedName name="______tub10012" localSheetId="38">#REF!</definedName>
    <definedName name="______tub10012">#REF!</definedName>
    <definedName name="______tub10015" localSheetId="39">#REF!</definedName>
    <definedName name="______tub10015" localSheetId="38">#REF!</definedName>
    <definedName name="______tub10015">#REF!</definedName>
    <definedName name="______tub10020" localSheetId="39">#REF!</definedName>
    <definedName name="______tub10020" localSheetId="38">#REF!</definedName>
    <definedName name="______tub10020">#REF!</definedName>
    <definedName name="______tub4012" localSheetId="39">#REF!</definedName>
    <definedName name="______tub4012" localSheetId="38">#REF!</definedName>
    <definedName name="______tub4012">#REF!</definedName>
    <definedName name="______tub4015" localSheetId="39">#REF!</definedName>
    <definedName name="______tub4015" localSheetId="38">#REF!</definedName>
    <definedName name="______tub4015">#REF!</definedName>
    <definedName name="______tub4020" localSheetId="39">#REF!</definedName>
    <definedName name="______tub4020" localSheetId="38">#REF!</definedName>
    <definedName name="______tub4020">#REF!</definedName>
    <definedName name="______tub5012" localSheetId="39">#REF!</definedName>
    <definedName name="______tub5012" localSheetId="38">#REF!</definedName>
    <definedName name="______tub5012">#REF!</definedName>
    <definedName name="______tub5015" localSheetId="39">#REF!</definedName>
    <definedName name="______tub5015" localSheetId="38">#REF!</definedName>
    <definedName name="______tub5015">#REF!</definedName>
    <definedName name="______tub5020" localSheetId="39">#REF!</definedName>
    <definedName name="______tub5020" localSheetId="38">#REF!</definedName>
    <definedName name="______tub5020">#REF!</definedName>
    <definedName name="______tub7512" localSheetId="39">#REF!</definedName>
    <definedName name="______tub7512" localSheetId="38">#REF!</definedName>
    <definedName name="______tub7512">#REF!</definedName>
    <definedName name="______tub7515" localSheetId="39">#REF!</definedName>
    <definedName name="______tub7515" localSheetId="38">#REF!</definedName>
    <definedName name="______tub7515">#REF!</definedName>
    <definedName name="______tub7520" localSheetId="39">#REF!</definedName>
    <definedName name="______tub7520" localSheetId="38">#REF!</definedName>
    <definedName name="______tub7520">#REF!</definedName>
    <definedName name="______xlnm.Print_Area_3" localSheetId="39">#REF!</definedName>
    <definedName name="______xlnm.Print_Area_3" localSheetId="38">#REF!</definedName>
    <definedName name="______xlnm.Print_Area_3">#REF!</definedName>
    <definedName name="______xlnm.Print_Area_4" localSheetId="39">#REF!</definedName>
    <definedName name="______xlnm.Print_Area_4" localSheetId="38">#REF!</definedName>
    <definedName name="______xlnm.Print_Area_4">#REF!</definedName>
    <definedName name="_____aga14" localSheetId="39">#REF!</definedName>
    <definedName name="_____aga14" localSheetId="38">#REF!</definedName>
    <definedName name="_____aga14">#REF!</definedName>
    <definedName name="_____bur3220" localSheetId="39">#REF!</definedName>
    <definedName name="_____bur3220" localSheetId="38">#REF!</definedName>
    <definedName name="_____bur3220">#REF!</definedName>
    <definedName name="_____C930I" localSheetId="39">#REF!</definedName>
    <definedName name="_____C930I" localSheetId="38">#REF!</definedName>
    <definedName name="_____C930I">#REF!</definedName>
    <definedName name="_____C930P" localSheetId="39">#REF!</definedName>
    <definedName name="_____C930P" localSheetId="38">#REF!</definedName>
    <definedName name="_____C930P">#REF!</definedName>
    <definedName name="_____C966I" localSheetId="39">#REF!</definedName>
    <definedName name="_____C966I" localSheetId="38">#REF!</definedName>
    <definedName name="_____C966I">#REF!</definedName>
    <definedName name="_____C966P" localSheetId="39">#REF!</definedName>
    <definedName name="_____C966P" localSheetId="38">#REF!</definedName>
    <definedName name="_____C966P">#REF!</definedName>
    <definedName name="_____C996P" localSheetId="39">#REF!</definedName>
    <definedName name="_____C996P" localSheetId="38">#REF!</definedName>
    <definedName name="_____C996P">#REF!</definedName>
    <definedName name="_____cap20" localSheetId="39">#REF!</definedName>
    <definedName name="_____cap20" localSheetId="38">#REF!</definedName>
    <definedName name="_____cap20">#REF!</definedName>
    <definedName name="_____cva50" localSheetId="39">#REF!</definedName>
    <definedName name="_____cva50" localSheetId="38">#REF!</definedName>
    <definedName name="_____cva50">#REF!</definedName>
    <definedName name="_____cva60" localSheetId="39">#REF!</definedName>
    <definedName name="_____cva60" localSheetId="38">#REF!</definedName>
    <definedName name="_____cva60">#REF!</definedName>
    <definedName name="_____cve45100" localSheetId="39">#REF!</definedName>
    <definedName name="_____cve45100" localSheetId="38">#REF!</definedName>
    <definedName name="_____cve45100">#REF!</definedName>
    <definedName name="_____cve90100" localSheetId="39">#REF!</definedName>
    <definedName name="_____cve90100" localSheetId="38">#REF!</definedName>
    <definedName name="_____cve90100">#REF!</definedName>
    <definedName name="_____cve9040" localSheetId="39">#REF!</definedName>
    <definedName name="_____cve9040" localSheetId="38">#REF!</definedName>
    <definedName name="_____cve9040">#REF!</definedName>
    <definedName name="_____djm10" localSheetId="39">#REF!</definedName>
    <definedName name="_____djm10" localSheetId="38">#REF!</definedName>
    <definedName name="_____djm10">#REF!</definedName>
    <definedName name="_____djm15" localSheetId="39">#REF!</definedName>
    <definedName name="_____djm15" localSheetId="38">#REF!</definedName>
    <definedName name="_____djm15">#REF!</definedName>
    <definedName name="_____epl2" localSheetId="39">#REF!</definedName>
    <definedName name="_____epl2" localSheetId="38">#REF!</definedName>
    <definedName name="_____epl2">#REF!</definedName>
    <definedName name="_____epl5" localSheetId="39">#REF!</definedName>
    <definedName name="_____epl5" localSheetId="38">#REF!</definedName>
    <definedName name="_____epl5">#REF!</definedName>
    <definedName name="_____fil1" localSheetId="39">#REF!</definedName>
    <definedName name="_____fil1" localSheetId="38">#REF!</definedName>
    <definedName name="_____fil1">#REF!</definedName>
    <definedName name="_____fil2" localSheetId="39">#REF!</definedName>
    <definedName name="_____fil2" localSheetId="38">#REF!</definedName>
    <definedName name="_____fil2">#REF!</definedName>
    <definedName name="_____fio12" localSheetId="39">#REF!</definedName>
    <definedName name="_____fio12" localSheetId="38">#REF!</definedName>
    <definedName name="_____fio12">#REF!</definedName>
    <definedName name="_____fis5" localSheetId="39">#REF!</definedName>
    <definedName name="_____fis5" localSheetId="38">#REF!</definedName>
    <definedName name="_____fis5">#REF!</definedName>
    <definedName name="_____flf50" localSheetId="39">#REF!</definedName>
    <definedName name="_____flf50" localSheetId="38">#REF!</definedName>
    <definedName name="_____flf50">#REF!</definedName>
    <definedName name="_____flf60" localSheetId="39">#REF!</definedName>
    <definedName name="_____flf60" localSheetId="38">#REF!</definedName>
    <definedName name="_____flf60">#REF!</definedName>
    <definedName name="_____fpd12" localSheetId="39">#REF!</definedName>
    <definedName name="_____fpd12" localSheetId="38">#REF!</definedName>
    <definedName name="_____fpd12">#REF!</definedName>
    <definedName name="_____fvr10" localSheetId="39">#REF!</definedName>
    <definedName name="_____fvr10" localSheetId="38">#REF!</definedName>
    <definedName name="_____fvr10">#REF!</definedName>
    <definedName name="_____itu1" localSheetId="39">#REF!</definedName>
    <definedName name="_____itu1" localSheetId="38">#REF!</definedName>
    <definedName name="_____itu1">#REF!</definedName>
    <definedName name="_____jla20" localSheetId="39">#REF!</definedName>
    <definedName name="_____jla20" localSheetId="38">#REF!</definedName>
    <definedName name="_____jla20">#REF!</definedName>
    <definedName name="_____jla32" localSheetId="39">#REF!</definedName>
    <definedName name="_____jla32" localSheetId="38">#REF!</definedName>
    <definedName name="_____jla32">#REF!</definedName>
    <definedName name="_____lpi100" localSheetId="39">#REF!</definedName>
    <definedName name="_____lpi100" localSheetId="38">#REF!</definedName>
    <definedName name="_____lpi100">#REF!</definedName>
    <definedName name="_____lvg10060" localSheetId="39">#REF!</definedName>
    <definedName name="_____lvg10060" localSheetId="38">#REF!</definedName>
    <definedName name="_____lvg10060">#REF!</definedName>
    <definedName name="_____lvp32" localSheetId="39">#REF!</definedName>
    <definedName name="_____lvp32" localSheetId="38">#REF!</definedName>
    <definedName name="_____lvp32">#REF!</definedName>
    <definedName name="_____man50" localSheetId="39">#REF!</definedName>
    <definedName name="_____man50" localSheetId="38">#REF!</definedName>
    <definedName name="_____man50">#REF!</definedName>
    <definedName name="_____ope1" localSheetId="39">#REF!</definedName>
    <definedName name="_____ope1" localSheetId="38">#REF!</definedName>
    <definedName name="_____ope1">#REF!</definedName>
    <definedName name="_____ope2" localSheetId="39">#REF!</definedName>
    <definedName name="_____ope2" localSheetId="38">#REF!</definedName>
    <definedName name="_____ope2">#REF!</definedName>
    <definedName name="_____ope3" localSheetId="39">#REF!</definedName>
    <definedName name="_____ope3" localSheetId="38">#REF!</definedName>
    <definedName name="_____ope3">#REF!</definedName>
    <definedName name="_____pne1" localSheetId="39">#REF!</definedName>
    <definedName name="_____pne1" localSheetId="38">#REF!</definedName>
    <definedName name="_____pne1">#REF!</definedName>
    <definedName name="_____pne2" localSheetId="39">#REF!</definedName>
    <definedName name="_____pne2" localSheetId="38">#REF!</definedName>
    <definedName name="_____pne2">#REF!</definedName>
    <definedName name="_____ptm6" localSheetId="39">#REF!</definedName>
    <definedName name="_____ptm6" localSheetId="38">#REF!</definedName>
    <definedName name="_____ptm6">#REF!</definedName>
    <definedName name="_____qdm3" localSheetId="39">#REF!</definedName>
    <definedName name="_____qdm3" localSheetId="38">#REF!</definedName>
    <definedName name="_____qdm3">#REF!</definedName>
    <definedName name="_____rcm10" localSheetId="39">#REF!</definedName>
    <definedName name="_____rcm10" localSheetId="38">#REF!</definedName>
    <definedName name="_____rcm10">#REF!</definedName>
    <definedName name="_____rcm15" localSheetId="39">#REF!</definedName>
    <definedName name="_____rcm15" localSheetId="38">#REF!</definedName>
    <definedName name="_____rcm15">#REF!</definedName>
    <definedName name="_____rcm20" localSheetId="39">#REF!</definedName>
    <definedName name="_____rcm20" localSheetId="38">#REF!</definedName>
    <definedName name="_____rcm20">#REF!</definedName>
    <definedName name="_____rcm5" localSheetId="39">#REF!</definedName>
    <definedName name="_____rcm5" localSheetId="38">#REF!</definedName>
    <definedName name="_____rcm5">#REF!</definedName>
    <definedName name="_____res10" localSheetId="39">#REF!</definedName>
    <definedName name="_____res10" localSheetId="38">#REF!</definedName>
    <definedName name="_____res10">#REF!</definedName>
    <definedName name="_____res15" localSheetId="39">#REF!</definedName>
    <definedName name="_____res15" localSheetId="38">#REF!</definedName>
    <definedName name="_____res15">#REF!</definedName>
    <definedName name="_____res5" localSheetId="39">#REF!</definedName>
    <definedName name="_____res5" localSheetId="38">#REF!</definedName>
    <definedName name="_____res5">#REF!</definedName>
    <definedName name="_____rgf60" localSheetId="39">#REF!</definedName>
    <definedName name="_____rgf60" localSheetId="38">#REF!</definedName>
    <definedName name="_____rgf60">#REF!</definedName>
    <definedName name="_____rgp1" localSheetId="39">#REF!</definedName>
    <definedName name="_____rgp1" localSheetId="38">#REF!</definedName>
    <definedName name="_____rgp1">#REF!</definedName>
    <definedName name="_____tap100" localSheetId="39">#REF!</definedName>
    <definedName name="_____tap100" localSheetId="38">#REF!</definedName>
    <definedName name="_____tap100">#REF!</definedName>
    <definedName name="_____tba20" localSheetId="39">#REF!</definedName>
    <definedName name="_____tba20" localSheetId="38">#REF!</definedName>
    <definedName name="_____tba20">#REF!</definedName>
    <definedName name="_____tba32" localSheetId="39">#REF!</definedName>
    <definedName name="_____tba32" localSheetId="38">#REF!</definedName>
    <definedName name="_____tba32">#REF!</definedName>
    <definedName name="_____tba50" localSheetId="39">#REF!</definedName>
    <definedName name="_____tba50" localSheetId="38">#REF!</definedName>
    <definedName name="_____tba50">#REF!</definedName>
    <definedName name="_____tba60" localSheetId="39">#REF!</definedName>
    <definedName name="_____tba60" localSheetId="38">#REF!</definedName>
    <definedName name="_____tba60">#REF!</definedName>
    <definedName name="_____tbe100" localSheetId="39">#REF!</definedName>
    <definedName name="_____tbe100" localSheetId="38">#REF!</definedName>
    <definedName name="_____tbe100">#REF!</definedName>
    <definedName name="_____tbe40" localSheetId="39">#REF!</definedName>
    <definedName name="_____tbe40" localSheetId="38">#REF!</definedName>
    <definedName name="_____tbe40">#REF!</definedName>
    <definedName name="_____tbe50" localSheetId="39">#REF!</definedName>
    <definedName name="_____tbe50" localSheetId="38">#REF!</definedName>
    <definedName name="_____tbe50">#REF!</definedName>
    <definedName name="_____tea32" localSheetId="39">#REF!</definedName>
    <definedName name="_____tea32" localSheetId="38">#REF!</definedName>
    <definedName name="_____tea32">#REF!</definedName>
    <definedName name="_____tea4560" localSheetId="39">#REF!</definedName>
    <definedName name="_____tea4560" localSheetId="38">#REF!</definedName>
    <definedName name="_____tea4560">#REF!</definedName>
    <definedName name="_____tee100" localSheetId="39">#REF!</definedName>
    <definedName name="_____tee100" localSheetId="38">#REF!</definedName>
    <definedName name="_____tee100">#REF!</definedName>
    <definedName name="_____ter10050" localSheetId="39">#REF!</definedName>
    <definedName name="_____ter10050" localSheetId="38">#REF!</definedName>
    <definedName name="_____ter10050">#REF!</definedName>
    <definedName name="_____tlf6" localSheetId="39">#REF!</definedName>
    <definedName name="_____tlf6" localSheetId="38">#REF!</definedName>
    <definedName name="_____tlf6">#REF!</definedName>
    <definedName name="_____tub10012" localSheetId="39">#REF!</definedName>
    <definedName name="_____tub10012" localSheetId="38">#REF!</definedName>
    <definedName name="_____tub10012">#REF!</definedName>
    <definedName name="_____tub10015" localSheetId="39">#REF!</definedName>
    <definedName name="_____tub10015" localSheetId="38">#REF!</definedName>
    <definedName name="_____tub10015">#REF!</definedName>
    <definedName name="_____tub10020" localSheetId="39">#REF!</definedName>
    <definedName name="_____tub10020" localSheetId="38">#REF!</definedName>
    <definedName name="_____tub10020">#REF!</definedName>
    <definedName name="_____tub4012" localSheetId="39">#REF!</definedName>
    <definedName name="_____tub4012" localSheetId="38">#REF!</definedName>
    <definedName name="_____tub4012">#REF!</definedName>
    <definedName name="_____tub4015" localSheetId="39">#REF!</definedName>
    <definedName name="_____tub4015" localSheetId="38">#REF!</definedName>
    <definedName name="_____tub4015">#REF!</definedName>
    <definedName name="_____tub4020" localSheetId="39">#REF!</definedName>
    <definedName name="_____tub4020" localSheetId="38">#REF!</definedName>
    <definedName name="_____tub4020">#REF!</definedName>
    <definedName name="_____tub5012" localSheetId="39">#REF!</definedName>
    <definedName name="_____tub5012" localSheetId="38">#REF!</definedName>
    <definedName name="_____tub5012">#REF!</definedName>
    <definedName name="_____tub5015" localSheetId="39">#REF!</definedName>
    <definedName name="_____tub5015" localSheetId="38">#REF!</definedName>
    <definedName name="_____tub5015">#REF!</definedName>
    <definedName name="_____tub5020" localSheetId="39">#REF!</definedName>
    <definedName name="_____tub5020" localSheetId="38">#REF!</definedName>
    <definedName name="_____tub5020">#REF!</definedName>
    <definedName name="_____tub7512" localSheetId="39">#REF!</definedName>
    <definedName name="_____tub7512" localSheetId="38">#REF!</definedName>
    <definedName name="_____tub7512">#REF!</definedName>
    <definedName name="_____tub7515" localSheetId="39">#REF!</definedName>
    <definedName name="_____tub7515" localSheetId="38">#REF!</definedName>
    <definedName name="_____tub7515">#REF!</definedName>
    <definedName name="_____tub7520" localSheetId="39">#REF!</definedName>
    <definedName name="_____tub7520" localSheetId="38">#REF!</definedName>
    <definedName name="_____tub7520">#REF!</definedName>
    <definedName name="_____xlnm.Print_Area_3" localSheetId="39">#REF!</definedName>
    <definedName name="_____xlnm.Print_Area_3" localSheetId="38">#REF!</definedName>
    <definedName name="_____xlnm.Print_Area_3">#REF!</definedName>
    <definedName name="_____xlnm.Print_Area_4" localSheetId="39">#REF!</definedName>
    <definedName name="_____xlnm.Print_Area_4" localSheetId="38">#REF!</definedName>
    <definedName name="_____xlnm.Print_Area_4">#REF!</definedName>
    <definedName name="____aga14" localSheetId="39">#REF!</definedName>
    <definedName name="____aga14" localSheetId="38">#REF!</definedName>
    <definedName name="____aga14">#REF!</definedName>
    <definedName name="____bur3220" localSheetId="39">#REF!</definedName>
    <definedName name="____bur3220" localSheetId="38">#REF!</definedName>
    <definedName name="____bur3220">#REF!</definedName>
    <definedName name="____C930I" localSheetId="39">#REF!</definedName>
    <definedName name="____C930I" localSheetId="38">#REF!</definedName>
    <definedName name="____C930I">#REF!</definedName>
    <definedName name="____C930P" localSheetId="39">#REF!</definedName>
    <definedName name="____C930P" localSheetId="38">#REF!</definedName>
    <definedName name="____C930P">#REF!</definedName>
    <definedName name="____C966I" localSheetId="39">#REF!</definedName>
    <definedName name="____C966I" localSheetId="38">#REF!</definedName>
    <definedName name="____C966I">#REF!</definedName>
    <definedName name="____C966P" localSheetId="39">#REF!</definedName>
    <definedName name="____C966P" localSheetId="38">#REF!</definedName>
    <definedName name="____C966P">#REF!</definedName>
    <definedName name="____C996P" localSheetId="39">#REF!</definedName>
    <definedName name="____C996P" localSheetId="38">#REF!</definedName>
    <definedName name="____C996P">#REF!</definedName>
    <definedName name="____cap20" localSheetId="39">#REF!</definedName>
    <definedName name="____cap20" localSheetId="38">#REF!</definedName>
    <definedName name="____cap20">#REF!</definedName>
    <definedName name="____cva50" localSheetId="39">#REF!</definedName>
    <definedName name="____cva50" localSheetId="38">#REF!</definedName>
    <definedName name="____cva50">#REF!</definedName>
    <definedName name="____cva60" localSheetId="39">#REF!</definedName>
    <definedName name="____cva60" localSheetId="38">#REF!</definedName>
    <definedName name="____cva60">#REF!</definedName>
    <definedName name="____cve45100" localSheetId="39">#REF!</definedName>
    <definedName name="____cve45100" localSheetId="38">#REF!</definedName>
    <definedName name="____cve45100">#REF!</definedName>
    <definedName name="____cve90100" localSheetId="39">#REF!</definedName>
    <definedName name="____cve90100" localSheetId="38">#REF!</definedName>
    <definedName name="____cve90100">#REF!</definedName>
    <definedName name="____cve9040" localSheetId="39">#REF!</definedName>
    <definedName name="____cve9040" localSheetId="38">#REF!</definedName>
    <definedName name="____cve9040">#REF!</definedName>
    <definedName name="____djm10" localSheetId="39">#REF!</definedName>
    <definedName name="____djm10" localSheetId="38">#REF!</definedName>
    <definedName name="____djm10">#REF!</definedName>
    <definedName name="____djm15" localSheetId="39">#REF!</definedName>
    <definedName name="____djm15" localSheetId="38">#REF!</definedName>
    <definedName name="____djm15">#REF!</definedName>
    <definedName name="____epl2" localSheetId="39">#REF!</definedName>
    <definedName name="____epl2" localSheetId="38">#REF!</definedName>
    <definedName name="____epl2">#REF!</definedName>
    <definedName name="____epl5" localSheetId="39">#REF!</definedName>
    <definedName name="____epl5" localSheetId="38">#REF!</definedName>
    <definedName name="____epl5">#REF!</definedName>
    <definedName name="____fil1" localSheetId="39">#REF!</definedName>
    <definedName name="____fil1" localSheetId="38">#REF!</definedName>
    <definedName name="____fil1">#REF!</definedName>
    <definedName name="____fil2" localSheetId="39">#REF!</definedName>
    <definedName name="____fil2" localSheetId="38">#REF!</definedName>
    <definedName name="____fil2">#REF!</definedName>
    <definedName name="____fio12" localSheetId="39">#REF!</definedName>
    <definedName name="____fio12" localSheetId="38">#REF!</definedName>
    <definedName name="____fio12">#REF!</definedName>
    <definedName name="____fis5" localSheetId="39">#REF!</definedName>
    <definedName name="____fis5" localSheetId="38">#REF!</definedName>
    <definedName name="____fis5">#REF!</definedName>
    <definedName name="____flf50" localSheetId="39">#REF!</definedName>
    <definedName name="____flf50" localSheetId="38">#REF!</definedName>
    <definedName name="____flf50">#REF!</definedName>
    <definedName name="____flf60" localSheetId="39">#REF!</definedName>
    <definedName name="____flf60" localSheetId="38">#REF!</definedName>
    <definedName name="____flf60">#REF!</definedName>
    <definedName name="____fpd12" localSheetId="39">#REF!</definedName>
    <definedName name="____fpd12" localSheetId="38">#REF!</definedName>
    <definedName name="____fpd12">#REF!</definedName>
    <definedName name="____fvr10" localSheetId="39">#REF!</definedName>
    <definedName name="____fvr10" localSheetId="38">#REF!</definedName>
    <definedName name="____fvr10">#REF!</definedName>
    <definedName name="____itu1" localSheetId="39">#REF!</definedName>
    <definedName name="____itu1" localSheetId="38">#REF!</definedName>
    <definedName name="____itu1">#REF!</definedName>
    <definedName name="____jla20" localSheetId="39">#REF!</definedName>
    <definedName name="____jla20" localSheetId="38">#REF!</definedName>
    <definedName name="____jla20">#REF!</definedName>
    <definedName name="____jla32" localSheetId="39">#REF!</definedName>
    <definedName name="____jla32" localSheetId="38">#REF!</definedName>
    <definedName name="____jla32">#REF!</definedName>
    <definedName name="____lpi100" localSheetId="39">#REF!</definedName>
    <definedName name="____lpi100" localSheetId="38">#REF!</definedName>
    <definedName name="____lpi100">#REF!</definedName>
    <definedName name="____lvg10060" localSheetId="39">#REF!</definedName>
    <definedName name="____lvg10060" localSheetId="38">#REF!</definedName>
    <definedName name="____lvg10060">#REF!</definedName>
    <definedName name="____lvp32" localSheetId="39">#REF!</definedName>
    <definedName name="____lvp32" localSheetId="38">#REF!</definedName>
    <definedName name="____lvp32">#REF!</definedName>
    <definedName name="____man50" localSheetId="39">#REF!</definedName>
    <definedName name="____man50" localSheetId="38">#REF!</definedName>
    <definedName name="____man50">#REF!</definedName>
    <definedName name="____ope1" localSheetId="39">#REF!</definedName>
    <definedName name="____ope1" localSheetId="38">#REF!</definedName>
    <definedName name="____ope1">#REF!</definedName>
    <definedName name="____ope2" localSheetId="39">#REF!</definedName>
    <definedName name="____ope2" localSheetId="38">#REF!</definedName>
    <definedName name="____ope2">#REF!</definedName>
    <definedName name="____ope3" localSheetId="39">#REF!</definedName>
    <definedName name="____ope3" localSheetId="38">#REF!</definedName>
    <definedName name="____ope3">#REF!</definedName>
    <definedName name="____pne1" localSheetId="39">#REF!</definedName>
    <definedName name="____pne1" localSheetId="38">#REF!</definedName>
    <definedName name="____pne1">#REF!</definedName>
    <definedName name="____pne2" localSheetId="39">#REF!</definedName>
    <definedName name="____pne2" localSheetId="38">#REF!</definedName>
    <definedName name="____pne2">#REF!</definedName>
    <definedName name="____ptm6" localSheetId="39">#REF!</definedName>
    <definedName name="____ptm6" localSheetId="38">#REF!</definedName>
    <definedName name="____ptm6">#REF!</definedName>
    <definedName name="____qdm3" localSheetId="39">#REF!</definedName>
    <definedName name="____qdm3" localSheetId="38">#REF!</definedName>
    <definedName name="____qdm3">#REF!</definedName>
    <definedName name="____rcm10" localSheetId="39">#REF!</definedName>
    <definedName name="____rcm10" localSheetId="38">#REF!</definedName>
    <definedName name="____rcm10">#REF!</definedName>
    <definedName name="____rcm15" localSheetId="39">#REF!</definedName>
    <definedName name="____rcm15" localSheetId="38">#REF!</definedName>
    <definedName name="____rcm15">#REF!</definedName>
    <definedName name="____rcm20" localSheetId="39">#REF!</definedName>
    <definedName name="____rcm20" localSheetId="38">#REF!</definedName>
    <definedName name="____rcm20">#REF!</definedName>
    <definedName name="____rcm5" localSheetId="39">#REF!</definedName>
    <definedName name="____rcm5" localSheetId="38">#REF!</definedName>
    <definedName name="____rcm5">#REF!</definedName>
    <definedName name="____res10" localSheetId="39">#REF!</definedName>
    <definedName name="____res10" localSheetId="38">#REF!</definedName>
    <definedName name="____res10">#REF!</definedName>
    <definedName name="____res15" localSheetId="39">#REF!</definedName>
    <definedName name="____res15" localSheetId="38">#REF!</definedName>
    <definedName name="____res15">#REF!</definedName>
    <definedName name="____res5" localSheetId="39">#REF!</definedName>
    <definedName name="____res5" localSheetId="38">#REF!</definedName>
    <definedName name="____res5">#REF!</definedName>
    <definedName name="____rgf60" localSheetId="39">#REF!</definedName>
    <definedName name="____rgf60" localSheetId="38">#REF!</definedName>
    <definedName name="____rgf60">#REF!</definedName>
    <definedName name="____rgp1" localSheetId="39">#REF!</definedName>
    <definedName name="____rgp1" localSheetId="38">#REF!</definedName>
    <definedName name="____rgp1">#REF!</definedName>
    <definedName name="____tap100" localSheetId="39">#REF!</definedName>
    <definedName name="____tap100" localSheetId="38">#REF!</definedName>
    <definedName name="____tap100">#REF!</definedName>
    <definedName name="____tba20" localSheetId="39">#REF!</definedName>
    <definedName name="____tba20" localSheetId="38">#REF!</definedName>
    <definedName name="____tba20">#REF!</definedName>
    <definedName name="____tba32" localSheetId="39">#REF!</definedName>
    <definedName name="____tba32" localSheetId="38">#REF!</definedName>
    <definedName name="____tba32">#REF!</definedName>
    <definedName name="____tba50" localSheetId="39">#REF!</definedName>
    <definedName name="____tba50" localSheetId="38">#REF!</definedName>
    <definedName name="____tba50">#REF!</definedName>
    <definedName name="____tba60" localSheetId="39">#REF!</definedName>
    <definedName name="____tba60" localSheetId="38">#REF!</definedName>
    <definedName name="____tba60">#REF!</definedName>
    <definedName name="____tbe100" localSheetId="39">#REF!</definedName>
    <definedName name="____tbe100" localSheetId="38">#REF!</definedName>
    <definedName name="____tbe100">#REF!</definedName>
    <definedName name="____tbe40" localSheetId="39">#REF!</definedName>
    <definedName name="____tbe40" localSheetId="38">#REF!</definedName>
    <definedName name="____tbe40">#REF!</definedName>
    <definedName name="____tbe50" localSheetId="39">#REF!</definedName>
    <definedName name="____tbe50" localSheetId="38">#REF!</definedName>
    <definedName name="____tbe50">#REF!</definedName>
    <definedName name="____tea32" localSheetId="39">#REF!</definedName>
    <definedName name="____tea32" localSheetId="38">#REF!</definedName>
    <definedName name="____tea32">#REF!</definedName>
    <definedName name="____tea4560" localSheetId="39">#REF!</definedName>
    <definedName name="____tea4560" localSheetId="38">#REF!</definedName>
    <definedName name="____tea4560">#REF!</definedName>
    <definedName name="____tee100" localSheetId="39">#REF!</definedName>
    <definedName name="____tee100" localSheetId="38">#REF!</definedName>
    <definedName name="____tee100">#REF!</definedName>
    <definedName name="____ter10050" localSheetId="39">#REF!</definedName>
    <definedName name="____ter10050" localSheetId="38">#REF!</definedName>
    <definedName name="____ter10050">#REF!</definedName>
    <definedName name="____tlf6" localSheetId="39">#REF!</definedName>
    <definedName name="____tlf6" localSheetId="38">#REF!</definedName>
    <definedName name="____tlf6">#REF!</definedName>
    <definedName name="____tub10012" localSheetId="39">#REF!</definedName>
    <definedName name="____tub10012" localSheetId="38">#REF!</definedName>
    <definedName name="____tub10012">#REF!</definedName>
    <definedName name="____tub10015" localSheetId="39">#REF!</definedName>
    <definedName name="____tub10015" localSheetId="38">#REF!</definedName>
    <definedName name="____tub10015">#REF!</definedName>
    <definedName name="____tub10020" localSheetId="39">#REF!</definedName>
    <definedName name="____tub10020" localSheetId="38">#REF!</definedName>
    <definedName name="____tub10020">#REF!</definedName>
    <definedName name="____tub4012" localSheetId="39">#REF!</definedName>
    <definedName name="____tub4012" localSheetId="38">#REF!</definedName>
    <definedName name="____tub4012">#REF!</definedName>
    <definedName name="____tub4015" localSheetId="39">#REF!</definedName>
    <definedName name="____tub4015" localSheetId="38">#REF!</definedName>
    <definedName name="____tub4015">#REF!</definedName>
    <definedName name="____tub4020" localSheetId="39">#REF!</definedName>
    <definedName name="____tub4020" localSheetId="38">#REF!</definedName>
    <definedName name="____tub4020">#REF!</definedName>
    <definedName name="____tub5012" localSheetId="39">#REF!</definedName>
    <definedName name="____tub5012" localSheetId="38">#REF!</definedName>
    <definedName name="____tub5012">#REF!</definedName>
    <definedName name="____tub5015" localSheetId="39">#REF!</definedName>
    <definedName name="____tub5015" localSheetId="38">#REF!</definedName>
    <definedName name="____tub5015">#REF!</definedName>
    <definedName name="____tub5020" localSheetId="39">#REF!</definedName>
    <definedName name="____tub5020" localSheetId="38">#REF!</definedName>
    <definedName name="____tub5020">#REF!</definedName>
    <definedName name="____tub7512" localSheetId="39">#REF!</definedName>
    <definedName name="____tub7512" localSheetId="38">#REF!</definedName>
    <definedName name="____tub7512">#REF!</definedName>
    <definedName name="____tub7515" localSheetId="39">#REF!</definedName>
    <definedName name="____tub7515" localSheetId="38">#REF!</definedName>
    <definedName name="____tub7515">#REF!</definedName>
    <definedName name="____tub7520" localSheetId="39">#REF!</definedName>
    <definedName name="____tub7520" localSheetId="38">#REF!</definedName>
    <definedName name="____tub7520">#REF!</definedName>
    <definedName name="____xlnm.Print_Area_3" localSheetId="39">#REF!</definedName>
    <definedName name="____xlnm.Print_Area_3" localSheetId="38">#REF!</definedName>
    <definedName name="____xlnm.Print_Area_3">#REF!</definedName>
    <definedName name="____xlnm.Print_Area_4" localSheetId="39">#REF!</definedName>
    <definedName name="____xlnm.Print_Area_4" localSheetId="38">#REF!</definedName>
    <definedName name="____xlnm.Print_Area_4">#REF!</definedName>
    <definedName name="___aga14" localSheetId="39">#REF!</definedName>
    <definedName name="___aga14" localSheetId="38">#REF!</definedName>
    <definedName name="___aga14">#REF!</definedName>
    <definedName name="___bur3220" localSheetId="39">#REF!</definedName>
    <definedName name="___bur3220" localSheetId="38">#REF!</definedName>
    <definedName name="___bur3220">#REF!</definedName>
    <definedName name="___C930I" localSheetId="39">#REF!</definedName>
    <definedName name="___C930I" localSheetId="38">#REF!</definedName>
    <definedName name="___C930I">#REF!</definedName>
    <definedName name="___C930P" localSheetId="39">#REF!</definedName>
    <definedName name="___C930P" localSheetId="38">#REF!</definedName>
    <definedName name="___C930P">#REF!</definedName>
    <definedName name="___C966I" localSheetId="39">#REF!</definedName>
    <definedName name="___C966I" localSheetId="38">#REF!</definedName>
    <definedName name="___C966I">#REF!</definedName>
    <definedName name="___C966P" localSheetId="39">#REF!</definedName>
    <definedName name="___C966P" localSheetId="38">#REF!</definedName>
    <definedName name="___C966P">#REF!</definedName>
    <definedName name="___C996P" localSheetId="39">#REF!</definedName>
    <definedName name="___C996P" localSheetId="38">#REF!</definedName>
    <definedName name="___C996P">#REF!</definedName>
    <definedName name="___cap20" localSheetId="39">#REF!</definedName>
    <definedName name="___cap20" localSheetId="38">#REF!</definedName>
    <definedName name="___cap20">#REF!</definedName>
    <definedName name="___cva50" localSheetId="39">#REF!</definedName>
    <definedName name="___cva50" localSheetId="38">#REF!</definedName>
    <definedName name="___cva50">#REF!</definedName>
    <definedName name="___cva60" localSheetId="39">#REF!</definedName>
    <definedName name="___cva60" localSheetId="38">#REF!</definedName>
    <definedName name="___cva60">#REF!</definedName>
    <definedName name="___cve45100" localSheetId="39">#REF!</definedName>
    <definedName name="___cve45100" localSheetId="38">#REF!</definedName>
    <definedName name="___cve45100">#REF!</definedName>
    <definedName name="___cve90100" localSheetId="39">#REF!</definedName>
    <definedName name="___cve90100" localSheetId="38">#REF!</definedName>
    <definedName name="___cve90100">#REF!</definedName>
    <definedName name="___cve9040" localSheetId="39">#REF!</definedName>
    <definedName name="___cve9040" localSheetId="38">#REF!</definedName>
    <definedName name="___cve9040">#REF!</definedName>
    <definedName name="___djm10" localSheetId="39">#REF!</definedName>
    <definedName name="___djm10" localSheetId="38">#REF!</definedName>
    <definedName name="___djm10">#REF!</definedName>
    <definedName name="___djm15" localSheetId="39">#REF!</definedName>
    <definedName name="___djm15" localSheetId="38">#REF!</definedName>
    <definedName name="___djm15">#REF!</definedName>
    <definedName name="___epl2" localSheetId="39">#REF!</definedName>
    <definedName name="___epl2" localSheetId="38">#REF!</definedName>
    <definedName name="___epl2">#REF!</definedName>
    <definedName name="___epl5" localSheetId="39">#REF!</definedName>
    <definedName name="___epl5" localSheetId="38">#REF!</definedName>
    <definedName name="___epl5">#REF!</definedName>
    <definedName name="___fil1" localSheetId="39">#REF!</definedName>
    <definedName name="___fil1" localSheetId="38">#REF!</definedName>
    <definedName name="___fil1">#REF!</definedName>
    <definedName name="___fil2" localSheetId="39">#REF!</definedName>
    <definedName name="___fil2" localSheetId="38">#REF!</definedName>
    <definedName name="___fil2">#REF!</definedName>
    <definedName name="___fio12" localSheetId="39">#REF!</definedName>
    <definedName name="___fio12" localSheetId="38">#REF!</definedName>
    <definedName name="___fio12">#REF!</definedName>
    <definedName name="___fis5" localSheetId="39">#REF!</definedName>
    <definedName name="___fis5" localSheetId="38">#REF!</definedName>
    <definedName name="___fis5">#REF!</definedName>
    <definedName name="___flf50" localSheetId="39">#REF!</definedName>
    <definedName name="___flf50" localSheetId="38">#REF!</definedName>
    <definedName name="___flf50">#REF!</definedName>
    <definedName name="___flf60" localSheetId="39">#REF!</definedName>
    <definedName name="___flf60" localSheetId="38">#REF!</definedName>
    <definedName name="___flf60">#REF!</definedName>
    <definedName name="___fpd12" localSheetId="39">#REF!</definedName>
    <definedName name="___fpd12" localSheetId="38">#REF!</definedName>
    <definedName name="___fpd12">#REF!</definedName>
    <definedName name="___fvr10" localSheetId="39">#REF!</definedName>
    <definedName name="___fvr10" localSheetId="38">#REF!</definedName>
    <definedName name="___fvr10">#REF!</definedName>
    <definedName name="___itu1" localSheetId="39">#REF!</definedName>
    <definedName name="___itu1" localSheetId="38">#REF!</definedName>
    <definedName name="___itu1">#REF!</definedName>
    <definedName name="___jla20" localSheetId="39">#REF!</definedName>
    <definedName name="___jla20" localSheetId="38">#REF!</definedName>
    <definedName name="___jla20">#REF!</definedName>
    <definedName name="___jla32" localSheetId="39">#REF!</definedName>
    <definedName name="___jla32" localSheetId="38">#REF!</definedName>
    <definedName name="___jla32">#REF!</definedName>
    <definedName name="___lpi100" localSheetId="39">#REF!</definedName>
    <definedName name="___lpi100" localSheetId="38">#REF!</definedName>
    <definedName name="___lpi100">#REF!</definedName>
    <definedName name="___lvg10060" localSheetId="39">#REF!</definedName>
    <definedName name="___lvg10060" localSheetId="38">#REF!</definedName>
    <definedName name="___lvg10060">#REF!</definedName>
    <definedName name="___lvp32" localSheetId="39">#REF!</definedName>
    <definedName name="___lvp32" localSheetId="38">#REF!</definedName>
    <definedName name="___lvp32">#REF!</definedName>
    <definedName name="___man50" localSheetId="39">#REF!</definedName>
    <definedName name="___man50" localSheetId="38">#REF!</definedName>
    <definedName name="___man50">#REF!</definedName>
    <definedName name="___ope1" localSheetId="39">#REF!</definedName>
    <definedName name="___ope1" localSheetId="38">#REF!</definedName>
    <definedName name="___ope1">#REF!</definedName>
    <definedName name="___ope2" localSheetId="39">#REF!</definedName>
    <definedName name="___ope2" localSheetId="38">#REF!</definedName>
    <definedName name="___ope2">#REF!</definedName>
    <definedName name="___ope3" localSheetId="39">#REF!</definedName>
    <definedName name="___ope3" localSheetId="38">#REF!</definedName>
    <definedName name="___ope3">#REF!</definedName>
    <definedName name="___pne1" localSheetId="39">#REF!</definedName>
    <definedName name="___pne1" localSheetId="38">#REF!</definedName>
    <definedName name="___pne1">#REF!</definedName>
    <definedName name="___pne2" localSheetId="39">#REF!</definedName>
    <definedName name="___pne2" localSheetId="38">#REF!</definedName>
    <definedName name="___pne2">#REF!</definedName>
    <definedName name="___ptm6" localSheetId="39">#REF!</definedName>
    <definedName name="___ptm6" localSheetId="38">#REF!</definedName>
    <definedName name="___ptm6">#REF!</definedName>
    <definedName name="___qdm3" localSheetId="39">#REF!</definedName>
    <definedName name="___qdm3" localSheetId="38">#REF!</definedName>
    <definedName name="___qdm3">#REF!</definedName>
    <definedName name="___rcm10" localSheetId="39">#REF!</definedName>
    <definedName name="___rcm10" localSheetId="38">#REF!</definedName>
    <definedName name="___rcm10">#REF!</definedName>
    <definedName name="___rcm15" localSheetId="39">#REF!</definedName>
    <definedName name="___rcm15" localSheetId="38">#REF!</definedName>
    <definedName name="___rcm15">#REF!</definedName>
    <definedName name="___rcm20" localSheetId="39">#REF!</definedName>
    <definedName name="___rcm20" localSheetId="38">#REF!</definedName>
    <definedName name="___rcm20">#REF!</definedName>
    <definedName name="___rcm5" localSheetId="39">#REF!</definedName>
    <definedName name="___rcm5" localSheetId="38">#REF!</definedName>
    <definedName name="___rcm5">#REF!</definedName>
    <definedName name="___res10" localSheetId="39">#REF!</definedName>
    <definedName name="___res10" localSheetId="38">#REF!</definedName>
    <definedName name="___res10">#REF!</definedName>
    <definedName name="___res15" localSheetId="39">#REF!</definedName>
    <definedName name="___res15" localSheetId="38">#REF!</definedName>
    <definedName name="___res15">#REF!</definedName>
    <definedName name="___res5" localSheetId="39">#REF!</definedName>
    <definedName name="___res5" localSheetId="38">#REF!</definedName>
    <definedName name="___res5">#REF!</definedName>
    <definedName name="___rgf60" localSheetId="39">#REF!</definedName>
    <definedName name="___rgf60" localSheetId="38">#REF!</definedName>
    <definedName name="___rgf60">#REF!</definedName>
    <definedName name="___rgp1" localSheetId="39">#REF!</definedName>
    <definedName name="___rgp1" localSheetId="38">#REF!</definedName>
    <definedName name="___rgp1">#REF!</definedName>
    <definedName name="___tap100" localSheetId="39">#REF!</definedName>
    <definedName name="___tap100" localSheetId="38">#REF!</definedName>
    <definedName name="___tap100">#REF!</definedName>
    <definedName name="___tba20" localSheetId="39">#REF!</definedName>
    <definedName name="___tba20" localSheetId="38">#REF!</definedName>
    <definedName name="___tba20">#REF!</definedName>
    <definedName name="___tba32" localSheetId="39">#REF!</definedName>
    <definedName name="___tba32" localSheetId="38">#REF!</definedName>
    <definedName name="___tba32">#REF!</definedName>
    <definedName name="___tba50" localSheetId="39">#REF!</definedName>
    <definedName name="___tba50" localSheetId="38">#REF!</definedName>
    <definedName name="___tba50">#REF!</definedName>
    <definedName name="___tba60" localSheetId="39">#REF!</definedName>
    <definedName name="___tba60" localSheetId="38">#REF!</definedName>
    <definedName name="___tba60">#REF!</definedName>
    <definedName name="___tbe100" localSheetId="39">#REF!</definedName>
    <definedName name="___tbe100" localSheetId="38">#REF!</definedName>
    <definedName name="___tbe100">#REF!</definedName>
    <definedName name="___tbe40" localSheetId="39">#REF!</definedName>
    <definedName name="___tbe40" localSheetId="38">#REF!</definedName>
    <definedName name="___tbe40">#REF!</definedName>
    <definedName name="___tbe50" localSheetId="39">#REF!</definedName>
    <definedName name="___tbe50" localSheetId="38">#REF!</definedName>
    <definedName name="___tbe50">#REF!</definedName>
    <definedName name="___tea32" localSheetId="39">#REF!</definedName>
    <definedName name="___tea32" localSheetId="38">#REF!</definedName>
    <definedName name="___tea32">#REF!</definedName>
    <definedName name="___tea4560" localSheetId="39">#REF!</definedName>
    <definedName name="___tea4560" localSheetId="38">#REF!</definedName>
    <definedName name="___tea4560">#REF!</definedName>
    <definedName name="___tee100" localSheetId="39">#REF!</definedName>
    <definedName name="___tee100" localSheetId="38">#REF!</definedName>
    <definedName name="___tee100">#REF!</definedName>
    <definedName name="___ter10050" localSheetId="39">#REF!</definedName>
    <definedName name="___ter10050" localSheetId="38">#REF!</definedName>
    <definedName name="___ter10050">#REF!</definedName>
    <definedName name="___tlf6" localSheetId="39">#REF!</definedName>
    <definedName name="___tlf6" localSheetId="38">#REF!</definedName>
    <definedName name="___tlf6">#REF!</definedName>
    <definedName name="___tub10012" localSheetId="39">#REF!</definedName>
    <definedName name="___tub10012" localSheetId="38">#REF!</definedName>
    <definedName name="___tub10012">#REF!</definedName>
    <definedName name="___tub10015" localSheetId="39">#REF!</definedName>
    <definedName name="___tub10015" localSheetId="38">#REF!</definedName>
    <definedName name="___tub10015">#REF!</definedName>
    <definedName name="___tub10020" localSheetId="39">#REF!</definedName>
    <definedName name="___tub10020" localSheetId="38">#REF!</definedName>
    <definedName name="___tub10020">#REF!</definedName>
    <definedName name="___tub4012" localSheetId="39">#REF!</definedName>
    <definedName name="___tub4012" localSheetId="38">#REF!</definedName>
    <definedName name="___tub4012">#REF!</definedName>
    <definedName name="___tub4015" localSheetId="39">#REF!</definedName>
    <definedName name="___tub4015" localSheetId="38">#REF!</definedName>
    <definedName name="___tub4015">#REF!</definedName>
    <definedName name="___tub4020" localSheetId="39">#REF!</definedName>
    <definedName name="___tub4020" localSheetId="38">#REF!</definedName>
    <definedName name="___tub4020">#REF!</definedName>
    <definedName name="___tub5012" localSheetId="39">#REF!</definedName>
    <definedName name="___tub5012" localSheetId="38">#REF!</definedName>
    <definedName name="___tub5012">#REF!</definedName>
    <definedName name="___tub5015" localSheetId="39">#REF!</definedName>
    <definedName name="___tub5015" localSheetId="38">#REF!</definedName>
    <definedName name="___tub5015">#REF!</definedName>
    <definedName name="___tub5020" localSheetId="39">#REF!</definedName>
    <definedName name="___tub5020" localSheetId="38">#REF!</definedName>
    <definedName name="___tub5020">#REF!</definedName>
    <definedName name="___tub7512" localSheetId="39">#REF!</definedName>
    <definedName name="___tub7512" localSheetId="38">#REF!</definedName>
    <definedName name="___tub7512">#REF!</definedName>
    <definedName name="___tub7515" localSheetId="39">#REF!</definedName>
    <definedName name="___tub7515" localSheetId="38">#REF!</definedName>
    <definedName name="___tub7515">#REF!</definedName>
    <definedName name="___tub7520" localSheetId="39">#REF!</definedName>
    <definedName name="___tub7520" localSheetId="38">#REF!</definedName>
    <definedName name="___tub7520">#REF!</definedName>
    <definedName name="___xlnm.Print_Area_3" localSheetId="39">#REF!</definedName>
    <definedName name="___xlnm.Print_Area_3" localSheetId="38">#REF!</definedName>
    <definedName name="___xlnm.Print_Area_3">#REF!</definedName>
    <definedName name="___xlnm.Print_Area_4" localSheetId="39">#REF!</definedName>
    <definedName name="___xlnm.Print_Area_4" localSheetId="38">#REF!</definedName>
    <definedName name="___xlnm.Print_Area_4">#REF!</definedName>
    <definedName name="__aga14" localSheetId="39">#REF!</definedName>
    <definedName name="__aga14" localSheetId="38">#REF!</definedName>
    <definedName name="__aga14">#REF!</definedName>
    <definedName name="__bur3220" localSheetId="39">#REF!</definedName>
    <definedName name="__bur3220" localSheetId="38">#REF!</definedName>
    <definedName name="__bur3220">#REF!</definedName>
    <definedName name="__C930I" localSheetId="39">#REF!</definedName>
    <definedName name="__C930I" localSheetId="38">#REF!</definedName>
    <definedName name="__C930I">#REF!</definedName>
    <definedName name="__C930P" localSheetId="39">#REF!</definedName>
    <definedName name="__C930P" localSheetId="38">#REF!</definedName>
    <definedName name="__C930P">#REF!</definedName>
    <definedName name="__C966I" localSheetId="39">#REF!</definedName>
    <definedName name="__C966I" localSheetId="38">#REF!</definedName>
    <definedName name="__C966I">#REF!</definedName>
    <definedName name="__C966P" localSheetId="39">#REF!</definedName>
    <definedName name="__C966P" localSheetId="38">#REF!</definedName>
    <definedName name="__C966P">#REF!</definedName>
    <definedName name="__C996P" localSheetId="39">#REF!</definedName>
    <definedName name="__C996P" localSheetId="38">#REF!</definedName>
    <definedName name="__C996P">#REF!</definedName>
    <definedName name="__cap20" localSheetId="39">#REF!</definedName>
    <definedName name="__cap20" localSheetId="38">#REF!</definedName>
    <definedName name="__cap20">#REF!</definedName>
    <definedName name="__cva50" localSheetId="39">#REF!</definedName>
    <definedName name="__cva50" localSheetId="38">#REF!</definedName>
    <definedName name="__cva50">#REF!</definedName>
    <definedName name="__cva60" localSheetId="39">#REF!</definedName>
    <definedName name="__cva60" localSheetId="38">#REF!</definedName>
    <definedName name="__cva60">#REF!</definedName>
    <definedName name="__cve45100" localSheetId="39">#REF!</definedName>
    <definedName name="__cve45100" localSheetId="38">#REF!</definedName>
    <definedName name="__cve45100">#REF!</definedName>
    <definedName name="__cve90100" localSheetId="39">#REF!</definedName>
    <definedName name="__cve90100" localSheetId="38">#REF!</definedName>
    <definedName name="__cve90100">#REF!</definedName>
    <definedName name="__cve9040" localSheetId="39">#REF!</definedName>
    <definedName name="__cve9040" localSheetId="38">#REF!</definedName>
    <definedName name="__cve9040">#REF!</definedName>
    <definedName name="__djm10" localSheetId="39">#REF!</definedName>
    <definedName name="__djm10" localSheetId="38">#REF!</definedName>
    <definedName name="__djm10">#REF!</definedName>
    <definedName name="__djm15" localSheetId="39">#REF!</definedName>
    <definedName name="__djm15" localSheetId="38">#REF!</definedName>
    <definedName name="__djm15">#REF!</definedName>
    <definedName name="__epl2" localSheetId="39">#REF!</definedName>
    <definedName name="__epl2" localSheetId="38">#REF!</definedName>
    <definedName name="__epl2">#REF!</definedName>
    <definedName name="__epl5" localSheetId="39">#REF!</definedName>
    <definedName name="__epl5" localSheetId="38">#REF!</definedName>
    <definedName name="__epl5">#REF!</definedName>
    <definedName name="__fil1" localSheetId="39">#REF!</definedName>
    <definedName name="__fil1" localSheetId="38">#REF!</definedName>
    <definedName name="__fil1">#REF!</definedName>
    <definedName name="__fil2" localSheetId="39">#REF!</definedName>
    <definedName name="__fil2" localSheetId="38">#REF!</definedName>
    <definedName name="__fil2">#REF!</definedName>
    <definedName name="__fio12" localSheetId="39">#REF!</definedName>
    <definedName name="__fio12" localSheetId="38">#REF!</definedName>
    <definedName name="__fio12">#REF!</definedName>
    <definedName name="__fis5" localSheetId="39">#REF!</definedName>
    <definedName name="__fis5" localSheetId="38">#REF!</definedName>
    <definedName name="__fis5">#REF!</definedName>
    <definedName name="__flf50" localSheetId="39">#REF!</definedName>
    <definedName name="__flf50" localSheetId="38">#REF!</definedName>
    <definedName name="__flf50">#REF!</definedName>
    <definedName name="__flf60" localSheetId="39">#REF!</definedName>
    <definedName name="__flf60" localSheetId="38">#REF!</definedName>
    <definedName name="__flf60">#REF!</definedName>
    <definedName name="__fpd12" localSheetId="39">#REF!</definedName>
    <definedName name="__fpd12" localSheetId="38">#REF!</definedName>
    <definedName name="__fpd12">#REF!</definedName>
    <definedName name="__fvr10" localSheetId="39">#REF!</definedName>
    <definedName name="__fvr10" localSheetId="38">#REF!</definedName>
    <definedName name="__fvr10">#REF!</definedName>
    <definedName name="__itu1" localSheetId="39">#REF!</definedName>
    <definedName name="__itu1" localSheetId="38">#REF!</definedName>
    <definedName name="__itu1">#REF!</definedName>
    <definedName name="__jla20" localSheetId="39">#REF!</definedName>
    <definedName name="__jla20" localSheetId="38">#REF!</definedName>
    <definedName name="__jla20">#REF!</definedName>
    <definedName name="__jla32" localSheetId="39">#REF!</definedName>
    <definedName name="__jla32" localSheetId="38">#REF!</definedName>
    <definedName name="__jla32">#REF!</definedName>
    <definedName name="__lpi100" localSheetId="39">#REF!</definedName>
    <definedName name="__lpi100" localSheetId="38">#REF!</definedName>
    <definedName name="__lpi100">#REF!</definedName>
    <definedName name="__lvg10060" localSheetId="39">#REF!</definedName>
    <definedName name="__lvg10060" localSheetId="38">#REF!</definedName>
    <definedName name="__lvg10060">#REF!</definedName>
    <definedName name="__lvp32" localSheetId="39">#REF!</definedName>
    <definedName name="__lvp32" localSheetId="38">#REF!</definedName>
    <definedName name="__lvp32">#REF!</definedName>
    <definedName name="__man50" localSheetId="39">#REF!</definedName>
    <definedName name="__man50" localSheetId="38">#REF!</definedName>
    <definedName name="__man50">#REF!</definedName>
    <definedName name="__ope1" localSheetId="39">#REF!</definedName>
    <definedName name="__ope1" localSheetId="38">#REF!</definedName>
    <definedName name="__ope1">#REF!</definedName>
    <definedName name="__ope2" localSheetId="39">#REF!</definedName>
    <definedName name="__ope2" localSheetId="38">#REF!</definedName>
    <definedName name="__ope2">#REF!</definedName>
    <definedName name="__ope3" localSheetId="39">#REF!</definedName>
    <definedName name="__ope3" localSheetId="38">#REF!</definedName>
    <definedName name="__ope3">#REF!</definedName>
    <definedName name="__pne1" localSheetId="39">#REF!</definedName>
    <definedName name="__pne1" localSheetId="38">#REF!</definedName>
    <definedName name="__pne1">#REF!</definedName>
    <definedName name="__pne2" localSheetId="39">#REF!</definedName>
    <definedName name="__pne2" localSheetId="38">#REF!</definedName>
    <definedName name="__pne2">#REF!</definedName>
    <definedName name="__ptm6" localSheetId="39">#REF!</definedName>
    <definedName name="__ptm6" localSheetId="38">#REF!</definedName>
    <definedName name="__ptm6">#REF!</definedName>
    <definedName name="__qdm3" localSheetId="39">#REF!</definedName>
    <definedName name="__qdm3" localSheetId="38">#REF!</definedName>
    <definedName name="__qdm3">#REF!</definedName>
    <definedName name="__rcm10" localSheetId="39">#REF!</definedName>
    <definedName name="__rcm10" localSheetId="38">#REF!</definedName>
    <definedName name="__rcm10">#REF!</definedName>
    <definedName name="__rcm15" localSheetId="39">#REF!</definedName>
    <definedName name="__rcm15" localSheetId="38">#REF!</definedName>
    <definedName name="__rcm15">#REF!</definedName>
    <definedName name="__rcm20" localSheetId="39">#REF!</definedName>
    <definedName name="__rcm20" localSheetId="38">#REF!</definedName>
    <definedName name="__rcm20">#REF!</definedName>
    <definedName name="__rcm5" localSheetId="39">#REF!</definedName>
    <definedName name="__rcm5" localSheetId="38">#REF!</definedName>
    <definedName name="__rcm5">#REF!</definedName>
    <definedName name="__res10" localSheetId="39">#REF!</definedName>
    <definedName name="__res10" localSheetId="38">#REF!</definedName>
    <definedName name="__res10">#REF!</definedName>
    <definedName name="__res15" localSheetId="39">#REF!</definedName>
    <definedName name="__res15" localSheetId="38">#REF!</definedName>
    <definedName name="__res15">#REF!</definedName>
    <definedName name="__res5" localSheetId="39">#REF!</definedName>
    <definedName name="__res5" localSheetId="38">#REF!</definedName>
    <definedName name="__res5">#REF!</definedName>
    <definedName name="__rgf60" localSheetId="39">#REF!</definedName>
    <definedName name="__rgf60" localSheetId="38">#REF!</definedName>
    <definedName name="__rgf60">#REF!</definedName>
    <definedName name="__rgp1" localSheetId="39">#REF!</definedName>
    <definedName name="__rgp1" localSheetId="38">#REF!</definedName>
    <definedName name="__rgp1">#REF!</definedName>
    <definedName name="__tap100" localSheetId="39">#REF!</definedName>
    <definedName name="__tap100" localSheetId="38">#REF!</definedName>
    <definedName name="__tap100">#REF!</definedName>
    <definedName name="__tba20" localSheetId="39">#REF!</definedName>
    <definedName name="__tba20" localSheetId="38">#REF!</definedName>
    <definedName name="__tba20">#REF!</definedName>
    <definedName name="__tba32" localSheetId="39">#REF!</definedName>
    <definedName name="__tba32" localSheetId="38">#REF!</definedName>
    <definedName name="__tba32">#REF!</definedName>
    <definedName name="__tba50" localSheetId="39">#REF!</definedName>
    <definedName name="__tba50" localSheetId="38">#REF!</definedName>
    <definedName name="__tba50">#REF!</definedName>
    <definedName name="__tba60" localSheetId="39">#REF!</definedName>
    <definedName name="__tba60" localSheetId="38">#REF!</definedName>
    <definedName name="__tba60">#REF!</definedName>
    <definedName name="__tbe100" localSheetId="39">#REF!</definedName>
    <definedName name="__tbe100" localSheetId="38">#REF!</definedName>
    <definedName name="__tbe100">#REF!</definedName>
    <definedName name="__tbe40" localSheetId="39">#REF!</definedName>
    <definedName name="__tbe40" localSheetId="38">#REF!</definedName>
    <definedName name="__tbe40">#REF!</definedName>
    <definedName name="__tbe50" localSheetId="39">#REF!</definedName>
    <definedName name="__tbe50" localSheetId="38">#REF!</definedName>
    <definedName name="__tbe50">#REF!</definedName>
    <definedName name="__tea32" localSheetId="39">#REF!</definedName>
    <definedName name="__tea32" localSheetId="38">#REF!</definedName>
    <definedName name="__tea32">#REF!</definedName>
    <definedName name="__tea4560" localSheetId="39">#REF!</definedName>
    <definedName name="__tea4560" localSheetId="38">#REF!</definedName>
    <definedName name="__tea4560">#REF!</definedName>
    <definedName name="__tee100" localSheetId="39">#REF!</definedName>
    <definedName name="__tee100" localSheetId="38">#REF!</definedName>
    <definedName name="__tee100">#REF!</definedName>
    <definedName name="__ter10050" localSheetId="39">#REF!</definedName>
    <definedName name="__ter10050" localSheetId="38">#REF!</definedName>
    <definedName name="__ter10050">#REF!</definedName>
    <definedName name="__tlf6" localSheetId="39">#REF!</definedName>
    <definedName name="__tlf6" localSheetId="38">#REF!</definedName>
    <definedName name="__tlf6">#REF!</definedName>
    <definedName name="__tub10012" localSheetId="39">#REF!</definedName>
    <definedName name="__tub10012" localSheetId="38">#REF!</definedName>
    <definedName name="__tub10012">#REF!</definedName>
    <definedName name="__tub10015" localSheetId="39">#REF!</definedName>
    <definedName name="__tub10015" localSheetId="38">#REF!</definedName>
    <definedName name="__tub10015">#REF!</definedName>
    <definedName name="__tub10020" localSheetId="39">#REF!</definedName>
    <definedName name="__tub10020" localSheetId="38">#REF!</definedName>
    <definedName name="__tub10020">#REF!</definedName>
    <definedName name="__tub4012" localSheetId="39">#REF!</definedName>
    <definedName name="__tub4012" localSheetId="38">#REF!</definedName>
    <definedName name="__tub4012">#REF!</definedName>
    <definedName name="__tub4015" localSheetId="39">#REF!</definedName>
    <definedName name="__tub4015" localSheetId="38">#REF!</definedName>
    <definedName name="__tub4015">#REF!</definedName>
    <definedName name="__tub4020" localSheetId="39">#REF!</definedName>
    <definedName name="__tub4020" localSheetId="38">#REF!</definedName>
    <definedName name="__tub4020">#REF!</definedName>
    <definedName name="__tub5012" localSheetId="39">#REF!</definedName>
    <definedName name="__tub5012" localSheetId="38">#REF!</definedName>
    <definedName name="__tub5012">#REF!</definedName>
    <definedName name="__tub5015" localSheetId="39">#REF!</definedName>
    <definedName name="__tub5015" localSheetId="38">#REF!</definedName>
    <definedName name="__tub5015">#REF!</definedName>
    <definedName name="__tub5020" localSheetId="39">#REF!</definedName>
    <definedName name="__tub5020" localSheetId="38">#REF!</definedName>
    <definedName name="__tub5020">#REF!</definedName>
    <definedName name="__tub7512" localSheetId="39">#REF!</definedName>
    <definedName name="__tub7512" localSheetId="38">#REF!</definedName>
    <definedName name="__tub7512">#REF!</definedName>
    <definedName name="__tub7515" localSheetId="39">#REF!</definedName>
    <definedName name="__tub7515" localSheetId="38">#REF!</definedName>
    <definedName name="__tub7515">#REF!</definedName>
    <definedName name="__tub7520" localSheetId="39">#REF!</definedName>
    <definedName name="__tub7520" localSheetId="38">#REF!</definedName>
    <definedName name="__tub7520">#REF!</definedName>
    <definedName name="__xlnm.Print_Area_3" localSheetId="39">#REF!</definedName>
    <definedName name="__xlnm.Print_Area_3" localSheetId="38">#REF!</definedName>
    <definedName name="__xlnm.Print_Area_3">#REF!</definedName>
    <definedName name="__xlnm.Print_Area_4" localSheetId="39">#REF!</definedName>
    <definedName name="__xlnm.Print_Area_4" localSheetId="38">#REF!</definedName>
    <definedName name="__xlnm.Print_Area_4">#REF!</definedName>
    <definedName name="_aga14" localSheetId="39">#REF!</definedName>
    <definedName name="_aga14" localSheetId="38">#REF!</definedName>
    <definedName name="_aga14">#REF!</definedName>
    <definedName name="_bur3220" localSheetId="39">#REF!</definedName>
    <definedName name="_bur3220" localSheetId="38">#REF!</definedName>
    <definedName name="_bur3220">#REF!</definedName>
    <definedName name="_C930I" localSheetId="39">#REF!</definedName>
    <definedName name="_C930I" localSheetId="38">#REF!</definedName>
    <definedName name="_C930I">#REF!</definedName>
    <definedName name="_C930P" localSheetId="39">#REF!</definedName>
    <definedName name="_C930P" localSheetId="38">#REF!</definedName>
    <definedName name="_C930P">#REF!</definedName>
    <definedName name="_C966I" localSheetId="39">#REF!</definedName>
    <definedName name="_C966I" localSheetId="38">#REF!</definedName>
    <definedName name="_C966I">#REF!</definedName>
    <definedName name="_C966P" localSheetId="39">#REF!</definedName>
    <definedName name="_C966P" localSheetId="38">#REF!</definedName>
    <definedName name="_C966P">#REF!</definedName>
    <definedName name="_C996P" localSheetId="39">#REF!</definedName>
    <definedName name="_C996P" localSheetId="38">#REF!</definedName>
    <definedName name="_C996P">#REF!</definedName>
    <definedName name="_cap20" localSheetId="39">#REF!</definedName>
    <definedName name="_cap20" localSheetId="38">#REF!</definedName>
    <definedName name="_cap20">#REF!</definedName>
    <definedName name="_cva50" localSheetId="39">#REF!</definedName>
    <definedName name="_cva50" localSheetId="38">#REF!</definedName>
    <definedName name="_cva50">#REF!</definedName>
    <definedName name="_cva60" localSheetId="39">#REF!</definedName>
    <definedName name="_cva60" localSheetId="38">#REF!</definedName>
    <definedName name="_cva60">#REF!</definedName>
    <definedName name="_cve45100" localSheetId="39">#REF!</definedName>
    <definedName name="_cve45100" localSheetId="38">#REF!</definedName>
    <definedName name="_cve45100">#REF!</definedName>
    <definedName name="_cve90100" localSheetId="39">#REF!</definedName>
    <definedName name="_cve90100" localSheetId="38">#REF!</definedName>
    <definedName name="_cve90100">#REF!</definedName>
    <definedName name="_cve9040" localSheetId="39">#REF!</definedName>
    <definedName name="_cve9040" localSheetId="38">#REF!</definedName>
    <definedName name="_cve9040">#REF!</definedName>
    <definedName name="_djm10" localSheetId="39">#REF!</definedName>
    <definedName name="_djm10" localSheetId="38">#REF!</definedName>
    <definedName name="_djm10">#REF!</definedName>
    <definedName name="_djm15" localSheetId="39">#REF!</definedName>
    <definedName name="_djm15" localSheetId="38">#REF!</definedName>
    <definedName name="_djm15">#REF!</definedName>
    <definedName name="_epl2" localSheetId="39">#REF!</definedName>
    <definedName name="_epl2" localSheetId="38">#REF!</definedName>
    <definedName name="_epl2">#REF!</definedName>
    <definedName name="_epl5" localSheetId="39">#REF!</definedName>
    <definedName name="_epl5" localSheetId="38">#REF!</definedName>
    <definedName name="_epl5">#REF!</definedName>
    <definedName name="_fil1" localSheetId="39">#REF!</definedName>
    <definedName name="_fil1" localSheetId="38">#REF!</definedName>
    <definedName name="_fil1">#REF!</definedName>
    <definedName name="_fil2" localSheetId="39">#REF!</definedName>
    <definedName name="_fil2" localSheetId="38">#REF!</definedName>
    <definedName name="_fil2">#REF!</definedName>
    <definedName name="_Fill" localSheetId="39" hidden="1">#REF!</definedName>
    <definedName name="_Fill" localSheetId="38" hidden="1">#REF!</definedName>
    <definedName name="_Fill" hidden="1">#REF!</definedName>
    <definedName name="_fio12" localSheetId="39">#REF!</definedName>
    <definedName name="_fio12" localSheetId="38">#REF!</definedName>
    <definedName name="_fio12">#REF!</definedName>
    <definedName name="_fis5" localSheetId="39">#REF!</definedName>
    <definedName name="_fis5" localSheetId="38">#REF!</definedName>
    <definedName name="_fis5">#REF!</definedName>
    <definedName name="_flf50" localSheetId="39">#REF!</definedName>
    <definedName name="_flf50" localSheetId="38">#REF!</definedName>
    <definedName name="_flf50">#REF!</definedName>
    <definedName name="_flf60" localSheetId="39">#REF!</definedName>
    <definedName name="_flf60" localSheetId="38">#REF!</definedName>
    <definedName name="_flf60">#REF!</definedName>
    <definedName name="_fpd12" localSheetId="39">#REF!</definedName>
    <definedName name="_fpd12" localSheetId="38">#REF!</definedName>
    <definedName name="_fpd12">#REF!</definedName>
    <definedName name="_fvr10" localSheetId="39">#REF!</definedName>
    <definedName name="_fvr10" localSheetId="38">#REF!</definedName>
    <definedName name="_fvr10">#REF!</definedName>
    <definedName name="_itu1" localSheetId="39">#REF!</definedName>
    <definedName name="_itu1" localSheetId="38">#REF!</definedName>
    <definedName name="_itu1">#REF!</definedName>
    <definedName name="_jla20" localSheetId="39">#REF!</definedName>
    <definedName name="_jla20" localSheetId="38">#REF!</definedName>
    <definedName name="_jla20">#REF!</definedName>
    <definedName name="_jla32" localSheetId="39">#REF!</definedName>
    <definedName name="_jla32" localSheetId="38">#REF!</definedName>
    <definedName name="_jla32">#REF!</definedName>
    <definedName name="_lpi100" localSheetId="39">#REF!</definedName>
    <definedName name="_lpi100" localSheetId="38">#REF!</definedName>
    <definedName name="_lpi100">#REF!</definedName>
    <definedName name="_lvg10060" localSheetId="39">#REF!</definedName>
    <definedName name="_lvg10060" localSheetId="38">#REF!</definedName>
    <definedName name="_lvg10060">#REF!</definedName>
    <definedName name="_lvp32" localSheetId="39">#REF!</definedName>
    <definedName name="_lvp32" localSheetId="38">#REF!</definedName>
    <definedName name="_lvp32">#REF!</definedName>
    <definedName name="_man50" localSheetId="39">#REF!</definedName>
    <definedName name="_man50" localSheetId="38">#REF!</definedName>
    <definedName name="_man50">#REF!</definedName>
    <definedName name="_ope1" localSheetId="39">#REF!</definedName>
    <definedName name="_ope1" localSheetId="38">#REF!</definedName>
    <definedName name="_ope1">#REF!</definedName>
    <definedName name="_ope2" localSheetId="39">#REF!</definedName>
    <definedName name="_ope2" localSheetId="38">#REF!</definedName>
    <definedName name="_ope2">#REF!</definedName>
    <definedName name="_ope3" localSheetId="39">#REF!</definedName>
    <definedName name="_ope3" localSheetId="38">#REF!</definedName>
    <definedName name="_ope3">#REF!</definedName>
    <definedName name="_pne1" localSheetId="39">#REF!</definedName>
    <definedName name="_pne1" localSheetId="38">#REF!</definedName>
    <definedName name="_pne1">#REF!</definedName>
    <definedName name="_pne2" localSheetId="39">#REF!</definedName>
    <definedName name="_pne2" localSheetId="38">#REF!</definedName>
    <definedName name="_pne2">#REF!</definedName>
    <definedName name="_ptm6" localSheetId="39">#REF!</definedName>
    <definedName name="_ptm6" localSheetId="38">#REF!</definedName>
    <definedName name="_ptm6">#REF!</definedName>
    <definedName name="_qdm3" localSheetId="39">#REF!</definedName>
    <definedName name="_qdm3" localSheetId="38">#REF!</definedName>
    <definedName name="_qdm3">#REF!</definedName>
    <definedName name="_rcm10" localSheetId="39">#REF!</definedName>
    <definedName name="_rcm10" localSheetId="38">#REF!</definedName>
    <definedName name="_rcm10">#REF!</definedName>
    <definedName name="_rcm15" localSheetId="39">#REF!</definedName>
    <definedName name="_rcm15" localSheetId="38">#REF!</definedName>
    <definedName name="_rcm15">#REF!</definedName>
    <definedName name="_rcm20" localSheetId="39">#REF!</definedName>
    <definedName name="_rcm20" localSheetId="38">#REF!</definedName>
    <definedName name="_rcm20">#REF!</definedName>
    <definedName name="_rcm5" localSheetId="39">#REF!</definedName>
    <definedName name="_rcm5" localSheetId="38">#REF!</definedName>
    <definedName name="_rcm5">#REF!</definedName>
    <definedName name="_res10" localSheetId="39">#REF!</definedName>
    <definedName name="_res10" localSheetId="38">#REF!</definedName>
    <definedName name="_res10">#REF!</definedName>
    <definedName name="_res15" localSheetId="39">#REF!</definedName>
    <definedName name="_res15" localSheetId="38">#REF!</definedName>
    <definedName name="_res15">#REF!</definedName>
    <definedName name="_res5" localSheetId="39">#REF!</definedName>
    <definedName name="_res5" localSheetId="38">#REF!</definedName>
    <definedName name="_res5">#REF!</definedName>
    <definedName name="_rgf60" localSheetId="39">#REF!</definedName>
    <definedName name="_rgf60" localSheetId="38">#REF!</definedName>
    <definedName name="_rgf60">#REF!</definedName>
    <definedName name="_rgp1" localSheetId="39">#REF!</definedName>
    <definedName name="_rgp1" localSheetId="38">#REF!</definedName>
    <definedName name="_rgp1">#REF!</definedName>
    <definedName name="_tap100" localSheetId="39">#REF!</definedName>
    <definedName name="_tap100" localSheetId="38">#REF!</definedName>
    <definedName name="_tap100">#REF!</definedName>
    <definedName name="_tba20" localSheetId="39">#REF!</definedName>
    <definedName name="_tba20" localSheetId="38">#REF!</definedName>
    <definedName name="_tba20">#REF!</definedName>
    <definedName name="_tba32" localSheetId="39">#REF!</definedName>
    <definedName name="_tba32" localSheetId="38">#REF!</definedName>
    <definedName name="_tba32">#REF!</definedName>
    <definedName name="_tba50" localSheetId="39">#REF!</definedName>
    <definedName name="_tba50" localSheetId="38">#REF!</definedName>
    <definedName name="_tba50">#REF!</definedName>
    <definedName name="_tba60" localSheetId="39">#REF!</definedName>
    <definedName name="_tba60" localSheetId="38">#REF!</definedName>
    <definedName name="_tba60">#REF!</definedName>
    <definedName name="_tbe100" localSheetId="39">#REF!</definedName>
    <definedName name="_tbe100" localSheetId="38">#REF!</definedName>
    <definedName name="_tbe100">#REF!</definedName>
    <definedName name="_tbe40" localSheetId="39">#REF!</definedName>
    <definedName name="_tbe40" localSheetId="38">#REF!</definedName>
    <definedName name="_tbe40">#REF!</definedName>
    <definedName name="_tbe50" localSheetId="39">#REF!</definedName>
    <definedName name="_tbe50" localSheetId="38">#REF!</definedName>
    <definedName name="_tbe50">#REF!</definedName>
    <definedName name="_tea32" localSheetId="39">#REF!</definedName>
    <definedName name="_tea32" localSheetId="38">#REF!</definedName>
    <definedName name="_tea32">#REF!</definedName>
    <definedName name="_tea4560" localSheetId="39">#REF!</definedName>
    <definedName name="_tea4560" localSheetId="38">#REF!</definedName>
    <definedName name="_tea4560">#REF!</definedName>
    <definedName name="_tee100" localSheetId="39">#REF!</definedName>
    <definedName name="_tee100" localSheetId="38">#REF!</definedName>
    <definedName name="_tee100">#REF!</definedName>
    <definedName name="_ter10050" localSheetId="39">#REF!</definedName>
    <definedName name="_ter10050" localSheetId="38">#REF!</definedName>
    <definedName name="_ter10050">#REF!</definedName>
    <definedName name="_tlf6" localSheetId="39">#REF!</definedName>
    <definedName name="_tlf6" localSheetId="38">#REF!</definedName>
    <definedName name="_tlf6">#REF!</definedName>
    <definedName name="_tub10012" localSheetId="39">#REF!</definedName>
    <definedName name="_tub10012" localSheetId="38">#REF!</definedName>
    <definedName name="_tub10012">#REF!</definedName>
    <definedName name="_tub10015" localSheetId="39">#REF!</definedName>
    <definedName name="_tub10015" localSheetId="38">#REF!</definedName>
    <definedName name="_tub10015">#REF!</definedName>
    <definedName name="_tub10020" localSheetId="39">#REF!</definedName>
    <definedName name="_tub10020" localSheetId="38">#REF!</definedName>
    <definedName name="_tub10020">#REF!</definedName>
    <definedName name="_tub4012" localSheetId="39">#REF!</definedName>
    <definedName name="_tub4012" localSheetId="38">#REF!</definedName>
    <definedName name="_tub4012">#REF!</definedName>
    <definedName name="_tub4015" localSheetId="39">#REF!</definedName>
    <definedName name="_tub4015" localSheetId="38">#REF!</definedName>
    <definedName name="_tub4015">#REF!</definedName>
    <definedName name="_tub4020" localSheetId="39">#REF!</definedName>
    <definedName name="_tub4020" localSheetId="38">#REF!</definedName>
    <definedName name="_tub4020">#REF!</definedName>
    <definedName name="_tub5012" localSheetId="39">#REF!</definedName>
    <definedName name="_tub5012" localSheetId="38">#REF!</definedName>
    <definedName name="_tub5012">#REF!</definedName>
    <definedName name="_tub5015" localSheetId="39">#REF!</definedName>
    <definedName name="_tub5015" localSheetId="38">#REF!</definedName>
    <definedName name="_tub5015">#REF!</definedName>
    <definedName name="_tub5020" localSheetId="39">#REF!</definedName>
    <definedName name="_tub5020" localSheetId="38">#REF!</definedName>
    <definedName name="_tub5020">#REF!</definedName>
    <definedName name="_tub7512" localSheetId="39">#REF!</definedName>
    <definedName name="_tub7512" localSheetId="38">#REF!</definedName>
    <definedName name="_tub7512">#REF!</definedName>
    <definedName name="_tub7515" localSheetId="39">#REF!</definedName>
    <definedName name="_tub7515" localSheetId="38">#REF!</definedName>
    <definedName name="_tub7515">#REF!</definedName>
    <definedName name="_tub7520" localSheetId="39">#REF!</definedName>
    <definedName name="_tub7520" localSheetId="38">#REF!</definedName>
    <definedName name="_tub7520">#REF!</definedName>
    <definedName name="A" localSheetId="39">#REF!</definedName>
    <definedName name="A" localSheetId="38">#REF!</definedName>
    <definedName name="A">#REF!</definedName>
    <definedName name="acl" localSheetId="39">#REF!</definedName>
    <definedName name="acl" localSheetId="38">#REF!</definedName>
    <definedName name="acl">#REF!</definedName>
    <definedName name="aço" localSheetId="39">#REF!</definedName>
    <definedName name="aço" localSheetId="38">#REF!</definedName>
    <definedName name="aço">#REF!</definedName>
    <definedName name="AD" localSheetId="39">#REF!</definedName>
    <definedName name="AD" localSheetId="38">#REF!</definedName>
    <definedName name="AD">#REF!</definedName>
    <definedName name="adtimp" localSheetId="39">#REF!</definedName>
    <definedName name="adtimp" localSheetId="38">#REF!</definedName>
    <definedName name="adtimp">#REF!</definedName>
    <definedName name="af" localSheetId="39">#REF!</definedName>
    <definedName name="af" localSheetId="38">#REF!</definedName>
    <definedName name="af">#REF!</definedName>
    <definedName name="afi" localSheetId="39">#REF!</definedName>
    <definedName name="afi" localSheetId="38">#REF!</definedName>
    <definedName name="afi">#REF!</definedName>
    <definedName name="afp" localSheetId="39">#REF!</definedName>
    <definedName name="afp" localSheetId="38">#REF!</definedName>
    <definedName name="afp">#REF!</definedName>
    <definedName name="ag" localSheetId="39">#REF!</definedName>
    <definedName name="ag" localSheetId="38">#REF!</definedName>
    <definedName name="ag">#REF!</definedName>
    <definedName name="agr" localSheetId="39">#REF!</definedName>
    <definedName name="agr" localSheetId="38">#REF!</definedName>
    <definedName name="agr">#REF!</definedName>
    <definedName name="amc" localSheetId="39">#REF!</definedName>
    <definedName name="amc" localSheetId="38">#REF!</definedName>
    <definedName name="amc">#REF!</definedName>
    <definedName name="amd" localSheetId="39">#REF!</definedName>
    <definedName name="amd" localSheetId="38">#REF!</definedName>
    <definedName name="amd">#REF!</definedName>
    <definedName name="amm" localSheetId="39">#REF!</definedName>
    <definedName name="amm" localSheetId="38">#REF!</definedName>
    <definedName name="amm">#REF!</definedName>
    <definedName name="anb" localSheetId="39">#REF!</definedName>
    <definedName name="anb" localSheetId="38">#REF!</definedName>
    <definedName name="anb">#REF!</definedName>
    <definedName name="apmfs" localSheetId="39">#REF!</definedName>
    <definedName name="apmfs" localSheetId="38">#REF!</definedName>
    <definedName name="apmfs">#REF!</definedName>
    <definedName name="are" localSheetId="39">#REF!</definedName>
    <definedName name="are" localSheetId="38">#REF!</definedName>
    <definedName name="are">#REF!</definedName>
    <definedName name="AREA" localSheetId="39">#REF!</definedName>
    <definedName name="AREA" localSheetId="38">#REF!</definedName>
    <definedName name="AREA">#REF!</definedName>
    <definedName name="ÁREA" localSheetId="39">#REF!</definedName>
    <definedName name="ÁREA" localSheetId="38">#REF!</definedName>
    <definedName name="ÁREA">#REF!</definedName>
    <definedName name="_xlnm.Print_Area" localSheetId="39">'BDI '!$A$1:$E$56</definedName>
    <definedName name="_xlnm.Print_Area" localSheetId="29">'COMPOSIÇÃO DE PREÇO UNITÁRIO'!$A$1:$N$179</definedName>
    <definedName name="_xlnm.Print_Area" localSheetId="36">CPUs!$A$1:$J$283</definedName>
    <definedName name="_xlnm.Print_Area" localSheetId="37">Cronograma!$A$1:$M$40</definedName>
    <definedName name="_xlnm.Print_Area" localSheetId="38">ENCARGOS!$A$1:$D$50</definedName>
    <definedName name="_xlnm.Print_Area" localSheetId="20">'MC - Anibal'!$A$1:$O$90</definedName>
    <definedName name="_xlnm.Print_Area" localSheetId="24">'MC - Bacabal'!$A$1:$O$87</definedName>
    <definedName name="_xlnm.Print_Area" localSheetId="8">'MC - Baixão dos Julios'!$A$1:$O$85</definedName>
    <definedName name="_xlnm.Print_Area" localSheetId="18">'MC - Cedro'!$A$1:$O$87</definedName>
    <definedName name="_xlnm.Print_Area" localSheetId="33">'MC - Mamede'!$A$1:$O$87</definedName>
    <definedName name="_xlnm.Print_Area" localSheetId="22">'MC - Massagano I'!$A$1:$O$87</definedName>
    <definedName name="_xlnm.Print_Area" localSheetId="12">'MC - Piquizeiro'!$A$1:$O$87</definedName>
    <definedName name="_xlnm.Print_Area" localSheetId="34">'MC - PONTE DE MADEIRA'!$A$1:$AC$59</definedName>
    <definedName name="_xlnm.Print_Area" localSheetId="4">'MC - Pov. Cigana'!$A$1:$O$86</definedName>
    <definedName name="_xlnm.Print_Area" localSheetId="26">'MC - S.J. das Varas'!$A$1:$O$85</definedName>
    <definedName name="_xlnm.Print_Area" localSheetId="10">'MC - Santa Maria'!$A$1:$O$85</definedName>
    <definedName name="_xlnm.Print_Area" localSheetId="6">'MC - Santa Rosa'!$A$1:$O$85</definedName>
    <definedName name="_xlnm.Print_Area" localSheetId="14">'MC - Santo Inácio'!$A$1:$O$87</definedName>
    <definedName name="_xlnm.Print_Area" localSheetId="2">'MC - Serviços Preliminares'!$A$1:$O$21</definedName>
    <definedName name="_xlnm.Print_Area" localSheetId="16">'MC - Sucuruju'!$A$1:$O$90</definedName>
    <definedName name="_xlnm.Print_Area" localSheetId="31">'MC - Varas'!$A$1:$O$85</definedName>
    <definedName name="_xlnm.Print_Area" localSheetId="35">'MEMÓRIA APOIO - PONE DE MADEIRA'!$A$1:$G$72</definedName>
    <definedName name="_xlnm.Print_Area" localSheetId="28">'MEMORIA DE CALCULO'!$A$1:$H$55</definedName>
    <definedName name="_xlnm.Print_Area" localSheetId="27">ORCAMENTO!$A$1:$I$41</definedName>
    <definedName name="_xlnm.Print_Area" localSheetId="19">'Orçamento - Anibal'!$A$1:$I$40</definedName>
    <definedName name="_xlnm.Print_Area" localSheetId="23">'Orçamento - Bacabal'!$A$1:$I$40</definedName>
    <definedName name="_xlnm.Print_Area" localSheetId="7">'Orçamento - Baixão dos Julios'!$A$1:$I$40</definedName>
    <definedName name="_xlnm.Print_Area" localSheetId="17">'Orçamento - Cedro'!$A$1:$I$40</definedName>
    <definedName name="_xlnm.Print_Area" localSheetId="32">'Orçamento - Mamede'!$A$1:$I$40</definedName>
    <definedName name="_xlnm.Print_Area" localSheetId="21">'Orçamento - Massagano I'!$A$1:$I$40</definedName>
    <definedName name="_xlnm.Print_Area" localSheetId="11">'Orçamento - Piquizeiro'!$A$1:$I$40</definedName>
    <definedName name="_xlnm.Print_Area" localSheetId="25">'Orçamento - S.J. das Varas'!$A$1:$I$40</definedName>
    <definedName name="_xlnm.Print_Area" localSheetId="9">'Orçamento - Santa Maria'!$A$1:$I$40</definedName>
    <definedName name="_xlnm.Print_Area" localSheetId="5">'Orçamento - Santa Rosa'!$A$1:$I$40</definedName>
    <definedName name="_xlnm.Print_Area" localSheetId="13">'Orçamento - Santo Inácio'!$A$1:$I$40</definedName>
    <definedName name="_xlnm.Print_Area" localSheetId="15">'Orçamento - Sucuruju'!$A$1:$I$41</definedName>
    <definedName name="_xlnm.Print_Area" localSheetId="30">'Orçamento - Varas'!$A$1:$I$40</definedName>
    <definedName name="_xlnm.Print_Area" localSheetId="3">'Orçamento Ata Pontes'!$A$1:$I$62</definedName>
    <definedName name="_xlnm.Print_Area" localSheetId="0">'Resumo do Orçamento'!$A$1:$J$30</definedName>
    <definedName name="_xlnm.Print_Area" localSheetId="1">'Serviços Preliminares'!$A$1:$I$13</definedName>
    <definedName name="AreaTeste" localSheetId="39">#REF!</definedName>
    <definedName name="AreaTeste" localSheetId="38">#REF!</definedName>
    <definedName name="AreaTeste">#REF!</definedName>
    <definedName name="AreaTeste2" localSheetId="39">#REF!</definedName>
    <definedName name="AreaTeste2" localSheetId="38">#REF!</definedName>
    <definedName name="AreaTeste2">#REF!</definedName>
    <definedName name="asd" localSheetId="39">#REF!</definedName>
    <definedName name="asd" localSheetId="38">#REF!</definedName>
    <definedName name="asd">#REF!</definedName>
    <definedName name="AZ" localSheetId="39">#REF!</definedName>
    <definedName name="AZ" localSheetId="38">#REF!</definedName>
    <definedName name="AZ">#REF!</definedName>
    <definedName name="B" localSheetId="39">#REF!</definedName>
    <definedName name="B" localSheetId="38">#REF!</definedName>
    <definedName name="B">#REF!</definedName>
    <definedName name="B320I" localSheetId="39">#REF!</definedName>
    <definedName name="B320I" localSheetId="38">#REF!</definedName>
    <definedName name="B320I">#REF!</definedName>
    <definedName name="B320P" localSheetId="39">#REF!</definedName>
    <definedName name="B320P" localSheetId="38">#REF!</definedName>
    <definedName name="B320P">#REF!</definedName>
    <definedName name="B500I" localSheetId="39">#REF!</definedName>
    <definedName name="B500I" localSheetId="38">#REF!</definedName>
    <definedName name="B500I">#REF!</definedName>
    <definedName name="B500P" localSheetId="39">#REF!</definedName>
    <definedName name="B500P" localSheetId="38">#REF!</definedName>
    <definedName name="B500P">#REF!</definedName>
    <definedName name="baliz" localSheetId="39">#REF!</definedName>
    <definedName name="baliz" localSheetId="38">#REF!</definedName>
    <definedName name="baliz">#REF!</definedName>
    <definedName name="_xlnm.Database" localSheetId="39">[1]ORC!#REF!</definedName>
    <definedName name="_xlnm.Database">[1]ORC!#REF!</definedName>
    <definedName name="BASC10I" localSheetId="39">#REF!</definedName>
    <definedName name="BASC10I" localSheetId="38">#REF!</definedName>
    <definedName name="BASC10I">#REF!</definedName>
    <definedName name="BASC10P" localSheetId="39">#REF!</definedName>
    <definedName name="BASC10P" localSheetId="38">#REF!</definedName>
    <definedName name="BASC10P">#REF!</definedName>
    <definedName name="BASC4I" localSheetId="39">#REF!</definedName>
    <definedName name="BASC4I" localSheetId="38">#REF!</definedName>
    <definedName name="BASC4I">#REF!</definedName>
    <definedName name="BASC4P" localSheetId="39">#REF!</definedName>
    <definedName name="BASC4P" localSheetId="38">#REF!</definedName>
    <definedName name="BASC4P">#REF!</definedName>
    <definedName name="BASC6I" localSheetId="39">#REF!</definedName>
    <definedName name="BASC6I" localSheetId="38">#REF!</definedName>
    <definedName name="BASC6I">#REF!</definedName>
    <definedName name="BASC6P" localSheetId="39">#REF!</definedName>
    <definedName name="BASC6P" localSheetId="38">#REF!</definedName>
    <definedName name="BASC6P">#REF!</definedName>
    <definedName name="bcc10.20" localSheetId="39">#REF!</definedName>
    <definedName name="bcc10.20" localSheetId="38">#REF!</definedName>
    <definedName name="bcc10.20">#REF!</definedName>
    <definedName name="bcc4.5" localSheetId="39">#REF!</definedName>
    <definedName name="bcc4.5" localSheetId="38">#REF!</definedName>
    <definedName name="bcc4.5">#REF!</definedName>
    <definedName name="bcc5.10" localSheetId="39">#REF!</definedName>
    <definedName name="bcc5.10" localSheetId="38">#REF!</definedName>
    <definedName name="bcc5.10">#REF!</definedName>
    <definedName name="bcc5.15" localSheetId="39">#REF!</definedName>
    <definedName name="bcc5.15" localSheetId="38">#REF!</definedName>
    <definedName name="bcc5.15">#REF!</definedName>
    <definedName name="bcc5.20" localSheetId="39">#REF!</definedName>
    <definedName name="bcc5.20" localSheetId="38">#REF!</definedName>
    <definedName name="bcc5.20">#REF!</definedName>
    <definedName name="bcc5.5" localSheetId="39">#REF!</definedName>
    <definedName name="bcc5.5" localSheetId="38">#REF!</definedName>
    <definedName name="bcc5.5">#REF!</definedName>
    <definedName name="bcc6.10" localSheetId="39">#REF!</definedName>
    <definedName name="bcc6.10" localSheetId="38">#REF!</definedName>
    <definedName name="bcc6.10">#REF!</definedName>
    <definedName name="bcc6.15" localSheetId="39">#REF!</definedName>
    <definedName name="bcc6.15" localSheetId="38">#REF!</definedName>
    <definedName name="bcc6.15">#REF!</definedName>
    <definedName name="bcc6.5" localSheetId="39">#REF!</definedName>
    <definedName name="bcc6.5" localSheetId="38">#REF!</definedName>
    <definedName name="bcc6.5">#REF!</definedName>
    <definedName name="bcc8.10" localSheetId="39">#REF!</definedName>
    <definedName name="bcc8.10" localSheetId="38">#REF!</definedName>
    <definedName name="bcc8.10">#REF!</definedName>
    <definedName name="bcc8.15" localSheetId="39">#REF!</definedName>
    <definedName name="bcc8.15" localSheetId="38">#REF!</definedName>
    <definedName name="bcc8.15">#REF!</definedName>
    <definedName name="bcc8.5" localSheetId="39">#REF!</definedName>
    <definedName name="bcc8.5" localSheetId="38">#REF!</definedName>
    <definedName name="bcc8.5">#REF!</definedName>
    <definedName name="bcp" localSheetId="39">#REF!</definedName>
    <definedName name="bcp" localSheetId="38">#REF!</definedName>
    <definedName name="bcp">#REF!</definedName>
    <definedName name="BDI" localSheetId="39">#REF!</definedName>
    <definedName name="BDI" localSheetId="38">#REF!</definedName>
    <definedName name="BDI">#REF!</definedName>
    <definedName name="BDIE" localSheetId="39">#REF!</definedName>
    <definedName name="BDIE" localSheetId="38">#REF!</definedName>
    <definedName name="BDIE">#REF!</definedName>
    <definedName name="BET5I" localSheetId="39">#REF!</definedName>
    <definedName name="BET5I" localSheetId="38">#REF!</definedName>
    <definedName name="BET5I">#REF!</definedName>
    <definedName name="BET5P" localSheetId="39">#REF!</definedName>
    <definedName name="BET5P" localSheetId="38">#REF!</definedName>
    <definedName name="BET5P">#REF!</definedName>
    <definedName name="BPF" localSheetId="39">#REF!</definedName>
    <definedName name="BPF" localSheetId="38">#REF!</definedName>
    <definedName name="BPF">#REF!</definedName>
    <definedName name="BVN" localSheetId="39">#REF!</definedName>
    <definedName name="BVN" localSheetId="38">#REF!</definedName>
    <definedName name="BVN">#REF!</definedName>
    <definedName name="CA15I" localSheetId="39">#REF!</definedName>
    <definedName name="CA15I" localSheetId="38">#REF!</definedName>
    <definedName name="CA15I">#REF!</definedName>
    <definedName name="CA15P" localSheetId="39">#REF!</definedName>
    <definedName name="CA15P" localSheetId="38">#REF!</definedName>
    <definedName name="CA15P">#REF!</definedName>
    <definedName name="CA25I" localSheetId="39">#REF!</definedName>
    <definedName name="CA25I" localSheetId="38">#REF!</definedName>
    <definedName name="CA25I">#REF!</definedName>
    <definedName name="CA25P" localSheetId="39">#REF!</definedName>
    <definedName name="CA25P" localSheetId="38">#REF!</definedName>
    <definedName name="CA25P">#REF!</definedName>
    <definedName name="cal" localSheetId="39">#REF!</definedName>
    <definedName name="cal" localSheetId="38">#REF!</definedName>
    <definedName name="cal">#REF!</definedName>
    <definedName name="CARROCI" localSheetId="39">#REF!</definedName>
    <definedName name="CARROCI" localSheetId="38">#REF!</definedName>
    <definedName name="CARROCI">#REF!</definedName>
    <definedName name="CARROCP" localSheetId="39">#REF!</definedName>
    <definedName name="CARROCP" localSheetId="38">#REF!</definedName>
    <definedName name="CARROCP">#REF!</definedName>
    <definedName name="CB10I" localSheetId="39">#REF!</definedName>
    <definedName name="CB10I" localSheetId="38">#REF!</definedName>
    <definedName name="CB10I">#REF!</definedName>
    <definedName name="CB10P" localSheetId="39">#REF!</definedName>
    <definedName name="CB10P" localSheetId="38">#REF!</definedName>
    <definedName name="CB10P">#REF!</definedName>
    <definedName name="CB4I" localSheetId="39">#REF!</definedName>
    <definedName name="CB4I" localSheetId="38">#REF!</definedName>
    <definedName name="CB4I">#REF!</definedName>
    <definedName name="CB4P" localSheetId="39">#REF!</definedName>
    <definedName name="CB4P" localSheetId="38">#REF!</definedName>
    <definedName name="CB4P">#REF!</definedName>
    <definedName name="CB6.5I" localSheetId="39">#REF!</definedName>
    <definedName name="CB6.5I" localSheetId="38">#REF!</definedName>
    <definedName name="CB6.5I">#REF!</definedName>
    <definedName name="CB6.5P" localSheetId="39">#REF!</definedName>
    <definedName name="CB6.5P" localSheetId="38">#REF!</definedName>
    <definedName name="CB6.5P">#REF!</definedName>
    <definedName name="CB6I" localSheetId="39">#REF!</definedName>
    <definedName name="CB6I" localSheetId="38">#REF!</definedName>
    <definedName name="CB6I">#REF!</definedName>
    <definedName name="CB6P" localSheetId="39">#REF!</definedName>
    <definedName name="CB6P" localSheetId="38">#REF!</definedName>
    <definedName name="CB6P">#REF!</definedName>
    <definedName name="cccc" localSheetId="39">[2]ORC!#REF!</definedName>
    <definedName name="cccc" localSheetId="38">[3]ORC!#REF!</definedName>
    <definedName name="cccc">[3]ORC!#REF!</definedName>
    <definedName name="CCM13I" localSheetId="39">#REF!</definedName>
    <definedName name="CCM13I" localSheetId="38">#REF!</definedName>
    <definedName name="CCM13I">#REF!</definedName>
    <definedName name="CCM13P" localSheetId="39">#REF!</definedName>
    <definedName name="CCM13P" localSheetId="38">#REF!</definedName>
    <definedName name="CCM13P">#REF!</definedName>
    <definedName name="CCM20I" localSheetId="39">#REF!</definedName>
    <definedName name="CCM20I" localSheetId="38">#REF!</definedName>
    <definedName name="CCM20I">#REF!</definedName>
    <definedName name="CCM20P" localSheetId="39">#REF!</definedName>
    <definedName name="CCM20P" localSheetId="38">#REF!</definedName>
    <definedName name="CCM20P">#REF!</definedName>
    <definedName name="ccp" localSheetId="39">#REF!</definedName>
    <definedName name="ccp" localSheetId="38">#REF!</definedName>
    <definedName name="ccp">#REF!</definedName>
    <definedName name="cds" localSheetId="39">#REF!</definedName>
    <definedName name="cds" localSheetId="38">#REF!</definedName>
    <definedName name="cds">#REF!</definedName>
    <definedName name="cec20x20" localSheetId="39">#REF!</definedName>
    <definedName name="cec20x20" localSheetId="38">#REF!</definedName>
    <definedName name="cec20x20">#REF!</definedName>
    <definedName name="CélulaInicioPlanilha" localSheetId="39">#REF!</definedName>
    <definedName name="CélulaInicioPlanilha" localSheetId="38">#REF!</definedName>
    <definedName name="CélulaInicioPlanilha">#REF!</definedName>
    <definedName name="CélulaResumo" localSheetId="39">#REF!</definedName>
    <definedName name="CélulaResumo" localSheetId="38">#REF!</definedName>
    <definedName name="CélulaResumo">#REF!</definedName>
    <definedName name="cer1\2" localSheetId="39">#REF!</definedName>
    <definedName name="cer1\2" localSheetId="38">#REF!</definedName>
    <definedName name="cer1\2">#REF!</definedName>
    <definedName name="cfd" localSheetId="39">#REF!</definedName>
    <definedName name="cfd" localSheetId="38">#REF!</definedName>
    <definedName name="cfd">#REF!</definedName>
    <definedName name="chaf" localSheetId="39">#REF!</definedName>
    <definedName name="chaf" localSheetId="38">#REF!</definedName>
    <definedName name="chaf">#REF!</definedName>
    <definedName name="cib" localSheetId="39">#REF!</definedName>
    <definedName name="cib" localSheetId="38">#REF!</definedName>
    <definedName name="cib">#REF!</definedName>
    <definedName name="cim" localSheetId="39">#REF!</definedName>
    <definedName name="cim" localSheetId="38">#REF!</definedName>
    <definedName name="cim">#REF!</definedName>
    <definedName name="cliente" localSheetId="39">#REF!</definedName>
    <definedName name="cliente" localSheetId="38">#REF!</definedName>
    <definedName name="cliente">#REF!</definedName>
    <definedName name="clp" localSheetId="39">#REF!</definedName>
    <definedName name="clp" localSheetId="38">#REF!</definedName>
    <definedName name="clp">#REF!</definedName>
    <definedName name="clr1\2" localSheetId="39">#REF!</definedName>
    <definedName name="clr1\2" localSheetId="38">#REF!</definedName>
    <definedName name="clr1\2">#REF!</definedName>
    <definedName name="CM9I" localSheetId="39">#REF!</definedName>
    <definedName name="CM9I" localSheetId="38">#REF!</definedName>
    <definedName name="CM9I">#REF!</definedName>
    <definedName name="CM9P" localSheetId="39">#REF!</definedName>
    <definedName name="CM9P" localSheetId="38">#REF!</definedName>
    <definedName name="CM9P">#REF!</definedName>
    <definedName name="COD_ATRIUM" localSheetId="39">#REF!</definedName>
    <definedName name="COD_ATRIUM" localSheetId="38">#REF!</definedName>
    <definedName name="COD_ATRIUM">#REF!</definedName>
    <definedName name="COD_SINAPI" localSheetId="39">#REF!</definedName>
    <definedName name="COD_SINAPI" localSheetId="38">#REF!</definedName>
    <definedName name="COD_SINAPI">#REF!</definedName>
    <definedName name="CPA" localSheetId="39">#REF!</definedName>
    <definedName name="CPA" localSheetId="38">#REF!</definedName>
    <definedName name="CPA">#REF!</definedName>
    <definedName name="CPAF" localSheetId="39">#REF!</definedName>
    <definedName name="CPAF" localSheetId="38">#REF!</definedName>
    <definedName name="CPAF">#REF!</definedName>
    <definedName name="CRG930I" localSheetId="39">#REF!</definedName>
    <definedName name="CRG930I" localSheetId="38">#REF!</definedName>
    <definedName name="CRG930I">#REF!</definedName>
    <definedName name="CRG930P" localSheetId="39">#REF!</definedName>
    <definedName name="CRG930P" localSheetId="38">#REF!</definedName>
    <definedName name="CRG930P">#REF!</definedName>
    <definedName name="CRG966I" localSheetId="39">#REF!</definedName>
    <definedName name="CRG966I" localSheetId="38">#REF!</definedName>
    <definedName name="CRG966I">#REF!</definedName>
    <definedName name="CRG966P" localSheetId="39">#REF!</definedName>
    <definedName name="CRG966P" localSheetId="38">#REF!</definedName>
    <definedName name="CRG966P">#REF!</definedName>
    <definedName name="CV" localSheetId="39">#REF!</definedName>
    <definedName name="CV" localSheetId="38">#REF!</definedName>
    <definedName name="CV">#REF!</definedName>
    <definedName name="cvb" localSheetId="39">#REF!</definedName>
    <definedName name="cvb" localSheetId="38">#REF!</definedName>
    <definedName name="cvb">#REF!</definedName>
    <definedName name="cxcx" localSheetId="39">#REF!</definedName>
    <definedName name="cxcx" localSheetId="38">#REF!</definedName>
    <definedName name="cxcx">#REF!</definedName>
    <definedName name="cxp4x2" localSheetId="39">#REF!</definedName>
    <definedName name="cxp4x2" localSheetId="38">#REF!</definedName>
    <definedName name="cxp4x2">#REF!</definedName>
    <definedName name="cxz" localSheetId="39">#REF!</definedName>
    <definedName name="cxz" localSheetId="38">#REF!</definedName>
    <definedName name="cxz">#REF!</definedName>
    <definedName name="CZ" localSheetId="39">#REF!</definedName>
    <definedName name="CZ" localSheetId="38">#REF!</definedName>
    <definedName name="CZ">#REF!</definedName>
    <definedName name="D6I" localSheetId="39">#REF!</definedName>
    <definedName name="D6I" localSheetId="38">#REF!</definedName>
    <definedName name="D6I">#REF!</definedName>
    <definedName name="D6P" localSheetId="39">#REF!</definedName>
    <definedName name="D6P" localSheetId="38">#REF!</definedName>
    <definedName name="D6P">#REF!</definedName>
    <definedName name="D8I" localSheetId="39">#REF!</definedName>
    <definedName name="D8I" localSheetId="38">#REF!</definedName>
    <definedName name="D8I">#REF!</definedName>
    <definedName name="D8P" localSheetId="39">#REF!</definedName>
    <definedName name="D8P" localSheetId="38">#REF!</definedName>
    <definedName name="D8P">#REF!</definedName>
    <definedName name="data" localSheetId="39">#REF!</definedName>
    <definedName name="data" localSheetId="38">#REF!</definedName>
    <definedName name="data">#REF!</definedName>
    <definedName name="des" localSheetId="39">#REF!</definedName>
    <definedName name="des" localSheetId="38">#REF!</definedName>
    <definedName name="des">#REF!</definedName>
    <definedName name="DIE" localSheetId="39">#REF!</definedName>
    <definedName name="DIE" localSheetId="38">#REF!</definedName>
    <definedName name="DIE">#REF!</definedName>
    <definedName name="DIF" localSheetId="39">#REF!</definedName>
    <definedName name="DIF" localSheetId="38">#REF!</definedName>
    <definedName name="DIF">#REF!</definedName>
    <definedName name="DKM" localSheetId="39">#REF!</definedName>
    <definedName name="DKM" localSheetId="38">#REF!</definedName>
    <definedName name="DKM">#REF!</definedName>
    <definedName name="dwg" localSheetId="39">#REF!</definedName>
    <definedName name="dwg" localSheetId="38">#REF!</definedName>
    <definedName name="dwg">#REF!</definedName>
    <definedName name="DXS" localSheetId="39">#REF!</definedName>
    <definedName name="DXS" localSheetId="38">#REF!</definedName>
    <definedName name="DXS">#REF!</definedName>
    <definedName name="E" localSheetId="39">#REF!</definedName>
    <definedName name="E" localSheetId="38">#REF!</definedName>
    <definedName name="E">#REF!</definedName>
    <definedName name="ecm" localSheetId="39">#REF!</definedName>
    <definedName name="ecm" localSheetId="38">#REF!</definedName>
    <definedName name="ecm">#REF!</definedName>
    <definedName name="ele" localSheetId="39">#REF!</definedName>
    <definedName name="ele" localSheetId="38">#REF!</definedName>
    <definedName name="ele">#REF!</definedName>
    <definedName name="elr1\2" localSheetId="39">#REF!</definedName>
    <definedName name="elr1\2" localSheetId="38">#REF!</definedName>
    <definedName name="elr1\2">#REF!</definedName>
    <definedName name="elv50x40" localSheetId="39">#REF!</definedName>
    <definedName name="elv50x40" localSheetId="38">#REF!</definedName>
    <definedName name="elv50x40">#REF!</definedName>
    <definedName name="enc" localSheetId="39">#REF!</definedName>
    <definedName name="enc" localSheetId="38">#REF!</definedName>
    <definedName name="enc">#REF!</definedName>
    <definedName name="ENCARGOS">#REF!</definedName>
    <definedName name="ENE" localSheetId="39">#REF!</definedName>
    <definedName name="ENE" localSheetId="38">#REF!</definedName>
    <definedName name="ENE">#REF!</definedName>
    <definedName name="eng" localSheetId="39">#REF!</definedName>
    <definedName name="eng" localSheetId="38">#REF!</definedName>
    <definedName name="eng">#REF!</definedName>
    <definedName name="engenc" localSheetId="39">#REF!</definedName>
    <definedName name="engenc" localSheetId="38">#REF!</definedName>
    <definedName name="engenc">#REF!</definedName>
    <definedName name="epm2.5" localSheetId="39">#REF!</definedName>
    <definedName name="epm2.5" localSheetId="38">#REF!</definedName>
    <definedName name="epm2.5">#REF!</definedName>
    <definedName name="erfer" localSheetId="39">[2]ORC!#REF!</definedName>
    <definedName name="erfer" localSheetId="38">[3]ORC!#REF!</definedName>
    <definedName name="erfer">[3]ORC!#REF!</definedName>
    <definedName name="esm" localSheetId="39">#REF!</definedName>
    <definedName name="esm" localSheetId="38">#REF!</definedName>
    <definedName name="esm">#REF!</definedName>
    <definedName name="ESPRGI" localSheetId="39">#REF!</definedName>
    <definedName name="ESPRGI" localSheetId="38">#REF!</definedName>
    <definedName name="ESPRGI">#REF!</definedName>
    <definedName name="ESPRGP" localSheetId="39">#REF!</definedName>
    <definedName name="ESPRGP" localSheetId="38">#REF!</definedName>
    <definedName name="ESPRGP">#REF!</definedName>
    <definedName name="est" localSheetId="39">#REF!</definedName>
    <definedName name="est" localSheetId="38">#REF!</definedName>
    <definedName name="est">#REF!</definedName>
    <definedName name="Excel_BuiltIn_Print_Area_1_1" localSheetId="39">#REF!</definedName>
    <definedName name="Excel_BuiltIn_Print_Area_1_1" localSheetId="38">#REF!</definedName>
    <definedName name="Excel_BuiltIn_Print_Area_1_1">#REF!</definedName>
    <definedName name="Excel_BuiltIn_Print_Area_1_1_1" localSheetId="39">#REF!</definedName>
    <definedName name="Excel_BuiltIn_Print_Area_1_1_1" localSheetId="38">#REF!</definedName>
    <definedName name="Excel_BuiltIn_Print_Area_1_1_1">#REF!</definedName>
    <definedName name="Excel_BuiltIn_Print_Area_10" localSheetId="39">#REF!</definedName>
    <definedName name="Excel_BuiltIn_Print_Area_10" localSheetId="38">#REF!</definedName>
    <definedName name="Excel_BuiltIn_Print_Area_10">#REF!</definedName>
    <definedName name="Excel_BuiltIn_Print_Area_11" localSheetId="39">#REF!</definedName>
    <definedName name="Excel_BuiltIn_Print_Area_11" localSheetId="38">#REF!</definedName>
    <definedName name="Excel_BuiltIn_Print_Area_11">#REF!</definedName>
    <definedName name="Excel_BuiltIn_Print_Area_12" localSheetId="39">#REF!</definedName>
    <definedName name="Excel_BuiltIn_Print_Area_12" localSheetId="38">#REF!</definedName>
    <definedName name="Excel_BuiltIn_Print_Area_12">#REF!</definedName>
    <definedName name="Excel_BuiltIn_Print_Area_13" localSheetId="39">#REF!</definedName>
    <definedName name="Excel_BuiltIn_Print_Area_13" localSheetId="38">#REF!</definedName>
    <definedName name="Excel_BuiltIn_Print_Area_13">#REF!</definedName>
    <definedName name="Excel_BuiltIn_Print_Area_14" localSheetId="39">#REF!</definedName>
    <definedName name="Excel_BuiltIn_Print_Area_14" localSheetId="38">#REF!</definedName>
    <definedName name="Excel_BuiltIn_Print_Area_14">#REF!</definedName>
    <definedName name="Excel_BuiltIn_Print_Area_2_1" localSheetId="39">#REF!</definedName>
    <definedName name="Excel_BuiltIn_Print_Area_2_1" localSheetId="38">#REF!</definedName>
    <definedName name="Excel_BuiltIn_Print_Area_2_1">#REF!</definedName>
    <definedName name="Excel_BuiltIn_Print_Area_2_1_1" localSheetId="39">#REF!</definedName>
    <definedName name="Excel_BuiltIn_Print_Area_2_1_1" localSheetId="38">#REF!</definedName>
    <definedName name="Excel_BuiltIn_Print_Area_2_1_1">#REF!</definedName>
    <definedName name="Excel_BuiltIn_Print_Area_3" localSheetId="39">#REF!</definedName>
    <definedName name="Excel_BuiltIn_Print_Area_3" localSheetId="38">#REF!</definedName>
    <definedName name="Excel_BuiltIn_Print_Area_3">#REF!</definedName>
    <definedName name="Excel_BuiltIn_Print_Area_4" localSheetId="39">#REF!</definedName>
    <definedName name="Excel_BuiltIn_Print_Area_4" localSheetId="38">#REF!</definedName>
    <definedName name="Excel_BuiltIn_Print_Area_4">#REF!</definedName>
    <definedName name="Excel_BuiltIn_Print_Area_5" localSheetId="39">#REF!</definedName>
    <definedName name="Excel_BuiltIn_Print_Area_5" localSheetId="38">#REF!</definedName>
    <definedName name="Excel_BuiltIn_Print_Area_5">#REF!</definedName>
    <definedName name="Excel_BuiltIn_Print_Area_5_1" localSheetId="39">#REF!</definedName>
    <definedName name="Excel_BuiltIn_Print_Area_5_1" localSheetId="38">#REF!</definedName>
    <definedName name="Excel_BuiltIn_Print_Area_5_1">#REF!</definedName>
    <definedName name="Excel_BuiltIn_Print_Area_7_1" localSheetId="39">#REF!</definedName>
    <definedName name="Excel_BuiltIn_Print_Area_7_1" localSheetId="38">#REF!</definedName>
    <definedName name="Excel_BuiltIn_Print_Area_7_1">#REF!</definedName>
    <definedName name="Excel_BuiltIn_Print_Area_8" localSheetId="39">#REF!</definedName>
    <definedName name="Excel_BuiltIn_Print_Area_8" localSheetId="38">#REF!</definedName>
    <definedName name="Excel_BuiltIn_Print_Area_8">#REF!</definedName>
    <definedName name="Excel_BuiltIn_Print_Area_9" localSheetId="39">#REF!</definedName>
    <definedName name="Excel_BuiltIn_Print_Area_9" localSheetId="38">#REF!</definedName>
    <definedName name="Excel_BuiltIn_Print_Area_9">#REF!</definedName>
    <definedName name="Excel_BuiltIn_Print_Titles_8" localSheetId="39">#REF!</definedName>
    <definedName name="Excel_BuiltIn_Print_Titles_8" localSheetId="38">#REF!</definedName>
    <definedName name="Excel_BuiltIn_Print_Titles_8">#REF!</definedName>
    <definedName name="ext" localSheetId="39">#REF!</definedName>
    <definedName name="ext" localSheetId="38">#REF!</definedName>
    <definedName name="ext">#REF!</definedName>
    <definedName name="fcd" localSheetId="39">'[4]CPU ATRIUM'!$D:$D</definedName>
    <definedName name="fcd">'[4]CPU ATRIUM'!$D:$D</definedName>
    <definedName name="fcm" localSheetId="39">#REF!</definedName>
    <definedName name="fcm" localSheetId="38">#REF!</definedName>
    <definedName name="fcm">#REF!</definedName>
    <definedName name="fds" localSheetId="39">#REF!</definedName>
    <definedName name="fds" localSheetId="38">#REF!</definedName>
    <definedName name="fds">#REF!</definedName>
    <definedName name="fdsa" localSheetId="39">#REF!</definedName>
    <definedName name="fdsa" localSheetId="38">#REF!</definedName>
    <definedName name="fdsa">#REF!</definedName>
    <definedName name="fe" localSheetId="39">#REF!</definedName>
    <definedName name="fe" localSheetId="38">#REF!</definedName>
    <definedName name="fe">#REF!</definedName>
    <definedName name="fer" localSheetId="39">#REF!</definedName>
    <definedName name="fer" localSheetId="38">#REF!</definedName>
    <definedName name="fer">#REF!</definedName>
    <definedName name="fsa" localSheetId="39">#REF!</definedName>
    <definedName name="fsa" localSheetId="38">#REF!</definedName>
    <definedName name="fsa">#REF!</definedName>
    <definedName name="FT" localSheetId="39">#REF!</definedName>
    <definedName name="FT" localSheetId="38">#REF!</definedName>
    <definedName name="FT">#REF!</definedName>
    <definedName name="G" localSheetId="39">#REF!</definedName>
    <definedName name="G" localSheetId="38">#REF!</definedName>
    <definedName name="G">#REF!</definedName>
    <definedName name="GAS" localSheetId="39">#REF!</definedName>
    <definedName name="GAS" localSheetId="38">#REF!</definedName>
    <definedName name="GAS">#REF!</definedName>
    <definedName name="gdc" localSheetId="39">#REF!</definedName>
    <definedName name="gdc" localSheetId="38">#REF!</definedName>
    <definedName name="gdc">#REF!</definedName>
    <definedName name="GFD" localSheetId="39">#REF!</definedName>
    <definedName name="GFD" localSheetId="38">#REF!</definedName>
    <definedName name="GFD">#REF!</definedName>
    <definedName name="gfv" localSheetId="39">#REF!</definedName>
    <definedName name="gfv" localSheetId="38">#REF!</definedName>
    <definedName name="gfv">#REF!</definedName>
    <definedName name="ggm" localSheetId="39">#REF!</definedName>
    <definedName name="ggm" localSheetId="38">#REF!</definedName>
    <definedName name="ggm">#REF!</definedName>
    <definedName name="ghb" localSheetId="39">#REF!</definedName>
    <definedName name="ghb" localSheetId="38">#REF!</definedName>
    <definedName name="ghb">#REF!</definedName>
    <definedName name="ghj" localSheetId="39">#REF!</definedName>
    <definedName name="ghj" localSheetId="38">#REF!</definedName>
    <definedName name="ghj">#REF!</definedName>
    <definedName name="GRDI" localSheetId="39">#REF!</definedName>
    <definedName name="GRDI" localSheetId="38">#REF!</definedName>
    <definedName name="GRDI">#REF!</definedName>
    <definedName name="GRDP" localSheetId="39">#REF!</definedName>
    <definedName name="GRDP" localSheetId="38">#REF!</definedName>
    <definedName name="GRDP">#REF!</definedName>
    <definedName name="GRI" localSheetId="39">#REF!</definedName>
    <definedName name="GRI" localSheetId="38">#REF!</definedName>
    <definedName name="GRI">#REF!</definedName>
    <definedName name="GRP" localSheetId="39">#REF!</definedName>
    <definedName name="GRP" localSheetId="38">#REF!</definedName>
    <definedName name="GRP">#REF!</definedName>
    <definedName name="grx" localSheetId="39">#REF!</definedName>
    <definedName name="grx" localSheetId="38">#REF!</definedName>
    <definedName name="grx">#REF!</definedName>
    <definedName name="gvc" localSheetId="39">#REF!</definedName>
    <definedName name="gvc" localSheetId="38">#REF!</definedName>
    <definedName name="gvc">#REF!</definedName>
    <definedName name="HJN" localSheetId="39">#REF!</definedName>
    <definedName name="HJN" localSheetId="38">#REF!</definedName>
    <definedName name="HJN">#REF!</definedName>
    <definedName name="IMP" localSheetId="39">#REF!</definedName>
    <definedName name="IMP" localSheetId="38">#REF!</definedName>
    <definedName name="IMP">#REF!</definedName>
    <definedName name="Import.DescLote" hidden="1">#REF!</definedName>
    <definedName name="ipf" localSheetId="39">#REF!</definedName>
    <definedName name="ipf" localSheetId="38">#REF!</definedName>
    <definedName name="ipf">#REF!</definedName>
    <definedName name="IT.1" localSheetId="39">#REF!</definedName>
    <definedName name="IT.1" localSheetId="38">#REF!</definedName>
    <definedName name="IT.1">#REF!</definedName>
    <definedName name="IT.2" localSheetId="39">#REF!</definedName>
    <definedName name="IT.2" localSheetId="38">#REF!</definedName>
    <definedName name="IT.2">#REF!</definedName>
    <definedName name="IT.3" localSheetId="39">#REF!</definedName>
    <definedName name="IT.3" localSheetId="38">#REF!</definedName>
    <definedName name="IT.3">#REF!</definedName>
    <definedName name="IT.4" localSheetId="39">#REF!</definedName>
    <definedName name="IT.4" localSheetId="38">#REF!</definedName>
    <definedName name="IT.4">#REF!</definedName>
    <definedName name="IT.5" localSheetId="39">#REF!</definedName>
    <definedName name="IT.5" localSheetId="38">#REF!</definedName>
    <definedName name="IT.5">#REF!</definedName>
    <definedName name="IT.6" localSheetId="39">#REF!</definedName>
    <definedName name="IT.6" localSheetId="38">#REF!</definedName>
    <definedName name="IT.6">#REF!</definedName>
    <definedName name="iug" localSheetId="39">#REF!</definedName>
    <definedName name="iug" localSheetId="38">#REF!</definedName>
    <definedName name="iug">#REF!</definedName>
    <definedName name="j" localSheetId="39">#REF!</definedName>
    <definedName name="j" localSheetId="38">#REF!</definedName>
    <definedName name="j">#REF!</definedName>
    <definedName name="JJJ" localSheetId="39">#REF!</definedName>
    <definedName name="JJJ" localSheetId="38">#REF!</definedName>
    <definedName name="JJJ">#REF!</definedName>
    <definedName name="jla1\220" localSheetId="39">#REF!</definedName>
    <definedName name="jla1\220" localSheetId="38">#REF!</definedName>
    <definedName name="jla1\220">#REF!</definedName>
    <definedName name="JOAO" localSheetId="39">#REF!</definedName>
    <definedName name="JOAO" localSheetId="38">#REF!</definedName>
    <definedName name="JOAO">#REF!</definedName>
    <definedName name="JRS" localSheetId="39">#REF!</definedName>
    <definedName name="JRS" localSheetId="38">#REF!</definedName>
    <definedName name="JRS">#REF!</definedName>
    <definedName name="KJH" localSheetId="39">#REF!</definedName>
    <definedName name="KJH" localSheetId="38">#REF!</definedName>
    <definedName name="KJH">#REF!</definedName>
    <definedName name="lkj" localSheetId="39">#REF!</definedName>
    <definedName name="lkj" localSheetId="38">#REF!</definedName>
    <definedName name="lkj">#REF!</definedName>
    <definedName name="lnm" localSheetId="39">#REF!</definedName>
    <definedName name="lnm" localSheetId="38">#REF!</definedName>
    <definedName name="lnm">#REF!</definedName>
    <definedName name="local" localSheetId="39">#REF!</definedName>
    <definedName name="local" localSheetId="38">#REF!</definedName>
    <definedName name="local">#REF!</definedName>
    <definedName name="lpb" localSheetId="39">#REF!</definedName>
    <definedName name="lpb" localSheetId="38">#REF!</definedName>
    <definedName name="lpb">#REF!</definedName>
    <definedName name="LS" localSheetId="39">#REF!</definedName>
    <definedName name="LS" localSheetId="38">#REF!</definedName>
    <definedName name="LS">#REF!</definedName>
    <definedName name="LSO" localSheetId="39">#REF!</definedName>
    <definedName name="LSO" localSheetId="38">#REF!</definedName>
    <definedName name="LSO">#REF!</definedName>
    <definedName name="lub" localSheetId="39">#REF!</definedName>
    <definedName name="lub" localSheetId="38">#REF!</definedName>
    <definedName name="lub">#REF!</definedName>
    <definedName name="lvg12050\1" localSheetId="39">#REF!</definedName>
    <definedName name="lvg12050\1" localSheetId="38">#REF!</definedName>
    <definedName name="lvg12050\1">#REF!</definedName>
    <definedName name="lvp1\2" localSheetId="39">#REF!</definedName>
    <definedName name="lvp1\2" localSheetId="38">#REF!</definedName>
    <definedName name="lvp1\2">#REF!</definedName>
    <definedName name="lxa" localSheetId="39">#REF!</definedName>
    <definedName name="lxa" localSheetId="38">#REF!</definedName>
    <definedName name="lxa">#REF!</definedName>
    <definedName name="mad" localSheetId="39">#REF!</definedName>
    <definedName name="mad" localSheetId="38">#REF!</definedName>
    <definedName name="mad">#REF!</definedName>
    <definedName name="map" localSheetId="39">#REF!</definedName>
    <definedName name="map" localSheetId="38">#REF!</definedName>
    <definedName name="map">#REF!</definedName>
    <definedName name="MBBI" localSheetId="39">#REF!</definedName>
    <definedName name="MBBI" localSheetId="38">#REF!</definedName>
    <definedName name="MBBI">#REF!</definedName>
    <definedName name="MBBP" localSheetId="39">#REF!</definedName>
    <definedName name="MBBP" localSheetId="38">#REF!</definedName>
    <definedName name="MBBP">#REF!</definedName>
    <definedName name="mdn" localSheetId="39">#REF!</definedName>
    <definedName name="mdn" localSheetId="38">#REF!</definedName>
    <definedName name="mdn">#REF!</definedName>
    <definedName name="MNI" localSheetId="39">#REF!</definedName>
    <definedName name="MNI" localSheetId="38">#REF!</definedName>
    <definedName name="MNI">#REF!</definedName>
    <definedName name="MNP" localSheetId="39">#REF!</definedName>
    <definedName name="MNP" localSheetId="38">#REF!</definedName>
    <definedName name="MNP">#REF!</definedName>
    <definedName name="MNVI" localSheetId="39">#REF!</definedName>
    <definedName name="MNVI" localSheetId="38">#REF!</definedName>
    <definedName name="MNVI">#REF!</definedName>
    <definedName name="MNVP" localSheetId="39">#REF!</definedName>
    <definedName name="MNVP" localSheetId="38">#REF!</definedName>
    <definedName name="MNVP">#REF!</definedName>
    <definedName name="mpm2.5" localSheetId="39">#REF!</definedName>
    <definedName name="mpm2.5" localSheetId="38">#REF!</definedName>
    <definedName name="mpm2.5">#REF!</definedName>
    <definedName name="MS621I" localSheetId="39">#REF!</definedName>
    <definedName name="MS621I" localSheetId="38">#REF!</definedName>
    <definedName name="MS621I">#REF!</definedName>
    <definedName name="MS621P" localSheetId="39">#REF!</definedName>
    <definedName name="MS621P" localSheetId="38">#REF!</definedName>
    <definedName name="MS621P">#REF!</definedName>
    <definedName name="msv" localSheetId="39">#REF!</definedName>
    <definedName name="msv" localSheetId="38">#REF!</definedName>
    <definedName name="msv">#REF!</definedName>
    <definedName name="MUNCKI" localSheetId="39">#REF!</definedName>
    <definedName name="MUNCKI" localSheetId="38">#REF!</definedName>
    <definedName name="MUNCKI">#REF!</definedName>
    <definedName name="MUNCKP" localSheetId="39">#REF!</definedName>
    <definedName name="MUNCKP" localSheetId="38">#REF!</definedName>
    <definedName name="MUNCKP">#REF!</definedName>
    <definedName name="obra" localSheetId="39">#REF!</definedName>
    <definedName name="obra" localSheetId="38">#REF!</definedName>
    <definedName name="obra">#REF!</definedName>
    <definedName name="odi" localSheetId="39">#REF!</definedName>
    <definedName name="odi" localSheetId="38">#REF!</definedName>
    <definedName name="odi">#REF!</definedName>
    <definedName name="ofc" localSheetId="39">#REF!</definedName>
    <definedName name="ofc" localSheetId="38">#REF!</definedName>
    <definedName name="ofc">#REF!</definedName>
    <definedName name="ofi" localSheetId="39">#REF!</definedName>
    <definedName name="ofi" localSheetId="38">#REF!</definedName>
    <definedName name="ofi">#REF!</definedName>
    <definedName name="OGU" localSheetId="39">#REF!</definedName>
    <definedName name="OGU" localSheetId="38">#REF!</definedName>
    <definedName name="OGU">#REF!</definedName>
    <definedName name="OK" localSheetId="39">#REF!</definedName>
    <definedName name="OK" localSheetId="38">#REF!</definedName>
    <definedName name="OK">#REF!</definedName>
    <definedName name="OOO" localSheetId="39">#REF!</definedName>
    <definedName name="OOO" localSheetId="38">#REF!</definedName>
    <definedName name="OOO">#REF!</definedName>
    <definedName name="ORÇAMENTO.BancoRef" hidden="1">'[5]PLANILHA ORÇAMENTÁRIA'!#REF!</definedName>
    <definedName name="ORÇAMENTO.CustoUnitario" hidden="1">ROUND('[5]PLANILHA ORÇAMENTÁRIA'!$S1,15-13*'[5]PLANILHA ORÇAMENTÁRIA'!#REF!)</definedName>
    <definedName name="P.1" localSheetId="39">#REF!</definedName>
    <definedName name="P.1" localSheetId="38">#REF!</definedName>
    <definedName name="P.1">#REF!</definedName>
    <definedName name="P.10" localSheetId="39">#REF!</definedName>
    <definedName name="P.10" localSheetId="38">#REF!</definedName>
    <definedName name="P.10">#REF!</definedName>
    <definedName name="P.11" localSheetId="39">#REF!</definedName>
    <definedName name="P.11" localSheetId="38">#REF!</definedName>
    <definedName name="P.11">#REF!</definedName>
    <definedName name="P.12" localSheetId="39">#REF!</definedName>
    <definedName name="P.12" localSheetId="38">#REF!</definedName>
    <definedName name="P.12">#REF!</definedName>
    <definedName name="P.13" localSheetId="39">#REF!</definedName>
    <definedName name="P.13" localSheetId="38">#REF!</definedName>
    <definedName name="P.13">#REF!</definedName>
    <definedName name="P.14" localSheetId="39">#REF!</definedName>
    <definedName name="P.14" localSheetId="38">#REF!</definedName>
    <definedName name="P.14">#REF!</definedName>
    <definedName name="P.15" localSheetId="39">#REF!</definedName>
    <definedName name="P.15" localSheetId="38">#REF!</definedName>
    <definedName name="P.15">#REF!</definedName>
    <definedName name="P.2" localSheetId="39">#REF!</definedName>
    <definedName name="P.2" localSheetId="38">#REF!</definedName>
    <definedName name="P.2">#REF!</definedName>
    <definedName name="P.3" localSheetId="39">#REF!</definedName>
    <definedName name="P.3" localSheetId="38">#REF!</definedName>
    <definedName name="P.3">#REF!</definedName>
    <definedName name="P.4" localSheetId="39">#REF!</definedName>
    <definedName name="P.4" localSheetId="38">#REF!</definedName>
    <definedName name="P.4">#REF!</definedName>
    <definedName name="p.414" localSheetId="39">#REF!</definedName>
    <definedName name="p.414" localSheetId="38">#REF!</definedName>
    <definedName name="p.414">#REF!</definedName>
    <definedName name="P.5" localSheetId="39">#REF!</definedName>
    <definedName name="P.5" localSheetId="38">#REF!</definedName>
    <definedName name="P.5">#REF!</definedName>
    <definedName name="P.6" localSheetId="39">#REF!</definedName>
    <definedName name="P.6" localSheetId="38">#REF!</definedName>
    <definedName name="P.6">#REF!</definedName>
    <definedName name="P.7" localSheetId="39">#REF!</definedName>
    <definedName name="P.7" localSheetId="38">#REF!</definedName>
    <definedName name="P.7">#REF!</definedName>
    <definedName name="P.8" localSheetId="39">#REF!</definedName>
    <definedName name="P.8" localSheetId="38">#REF!</definedName>
    <definedName name="P.8">#REF!</definedName>
    <definedName name="P.9" localSheetId="39">#REF!</definedName>
    <definedName name="P.9" localSheetId="38">#REF!</definedName>
    <definedName name="P.9">#REF!</definedName>
    <definedName name="pcf60x210" localSheetId="39">#REF!</definedName>
    <definedName name="pcf60x210" localSheetId="38">#REF!</definedName>
    <definedName name="pcf60x210">#REF!</definedName>
    <definedName name="pcf80x200" localSheetId="39">#REF!</definedName>
    <definedName name="pcf80x200" localSheetId="38">#REF!</definedName>
    <definedName name="pcf80x200">#REF!</definedName>
    <definedName name="pcf80x210" localSheetId="39">#REF!</definedName>
    <definedName name="pcf80x210" localSheetId="38">#REF!</definedName>
    <definedName name="pcf80x210">#REF!</definedName>
    <definedName name="pdm" localSheetId="39">#REF!</definedName>
    <definedName name="pdm" localSheetId="38">#REF!</definedName>
    <definedName name="pdm">#REF!</definedName>
    <definedName name="PII" localSheetId="39">#REF!</definedName>
    <definedName name="PII" localSheetId="38">#REF!</definedName>
    <definedName name="PII">#REF!</definedName>
    <definedName name="PIP" localSheetId="39">#REF!</definedName>
    <definedName name="PIP" localSheetId="38">#REF!</definedName>
    <definedName name="PIP">#REF!</definedName>
    <definedName name="PIPAI" localSheetId="39">#REF!</definedName>
    <definedName name="PIPAI" localSheetId="38">#REF!</definedName>
    <definedName name="PIPAI">#REF!</definedName>
    <definedName name="PIPAP" localSheetId="39">#REF!</definedName>
    <definedName name="PIPAP" localSheetId="38">#REF!</definedName>
    <definedName name="PIPAP">#REF!</definedName>
    <definedName name="plc" localSheetId="39">#REF!</definedName>
    <definedName name="plc" localSheetId="38">#REF!</definedName>
    <definedName name="plc">#REF!</definedName>
    <definedName name="plc2.5" localSheetId="39">#REF!</definedName>
    <definedName name="plc2.5" localSheetId="38">#REF!</definedName>
    <definedName name="plc2.5">#REF!</definedName>
    <definedName name="PMS" localSheetId="39">#REF!</definedName>
    <definedName name="PMS" localSheetId="38">#REF!</definedName>
    <definedName name="PMS">#REF!</definedName>
    <definedName name="pontal" localSheetId="39">#REF!</definedName>
    <definedName name="pontal" localSheetId="38">#REF!</definedName>
    <definedName name="pontal">#REF!</definedName>
    <definedName name="PP1.1" localSheetId="39">#REF!</definedName>
    <definedName name="PP1.1" localSheetId="38">#REF!</definedName>
    <definedName name="PP1.1">#REF!</definedName>
    <definedName name="PP1.10" localSheetId="39">#REF!</definedName>
    <definedName name="PP1.10" localSheetId="38">#REF!</definedName>
    <definedName name="PP1.10">#REF!</definedName>
    <definedName name="PP1.11" localSheetId="39">#REF!</definedName>
    <definedName name="PP1.11" localSheetId="38">#REF!</definedName>
    <definedName name="PP1.11">#REF!</definedName>
    <definedName name="PP1.12" localSheetId="39">#REF!</definedName>
    <definedName name="PP1.12" localSheetId="38">#REF!</definedName>
    <definedName name="PP1.12">#REF!</definedName>
    <definedName name="PP1.13" localSheetId="39">#REF!</definedName>
    <definedName name="PP1.13" localSheetId="38">#REF!</definedName>
    <definedName name="PP1.13">#REF!</definedName>
    <definedName name="PP1.14" localSheetId="39">#REF!</definedName>
    <definedName name="PP1.14" localSheetId="38">#REF!</definedName>
    <definedName name="PP1.14">#REF!</definedName>
    <definedName name="PP1.15" localSheetId="39">#REF!</definedName>
    <definedName name="PP1.15" localSheetId="38">#REF!</definedName>
    <definedName name="PP1.15">#REF!</definedName>
    <definedName name="PP1.2" localSheetId="39">#REF!</definedName>
    <definedName name="PP1.2" localSheetId="38">#REF!</definedName>
    <definedName name="PP1.2">#REF!</definedName>
    <definedName name="PP1.3" localSheetId="39">#REF!</definedName>
    <definedName name="PP1.3" localSheetId="38">#REF!</definedName>
    <definedName name="PP1.3">#REF!</definedName>
    <definedName name="PP1.4" localSheetId="39">#REF!</definedName>
    <definedName name="PP1.4" localSheetId="38">#REF!</definedName>
    <definedName name="PP1.4">#REF!</definedName>
    <definedName name="PP1.5" localSheetId="39">#REF!</definedName>
    <definedName name="PP1.5" localSheetId="38">#REF!</definedName>
    <definedName name="PP1.5">#REF!</definedName>
    <definedName name="PP1.6" localSheetId="39">#REF!</definedName>
    <definedName name="PP1.6" localSheetId="38">#REF!</definedName>
    <definedName name="PP1.6">#REF!</definedName>
    <definedName name="PP1.7" localSheetId="39">#REF!</definedName>
    <definedName name="PP1.7" localSheetId="38">#REF!</definedName>
    <definedName name="PP1.7">#REF!</definedName>
    <definedName name="PP1.8" localSheetId="39">#REF!</definedName>
    <definedName name="PP1.8" localSheetId="38">#REF!</definedName>
    <definedName name="PP1.8">#REF!</definedName>
    <definedName name="PP1.9" localSheetId="39">#REF!</definedName>
    <definedName name="PP1.9" localSheetId="38">#REF!</definedName>
    <definedName name="PP1.9">#REF!</definedName>
    <definedName name="prf" localSheetId="39">#REF!</definedName>
    <definedName name="prf" localSheetId="38">#REF!</definedName>
    <definedName name="prf">#REF!</definedName>
    <definedName name="prg" localSheetId="39">#REF!</definedName>
    <definedName name="prg" localSheetId="38">#REF!</definedName>
    <definedName name="prg">#REF!</definedName>
    <definedName name="PROJ" localSheetId="39">#REF!</definedName>
    <definedName name="PROJ" localSheetId="38">#REF!</definedName>
    <definedName name="PROJ">#REF!</definedName>
    <definedName name="ptt3x2" localSheetId="39">#REF!</definedName>
    <definedName name="ptt3x2" localSheetId="38">#REF!</definedName>
    <definedName name="ptt3x2">#REF!</definedName>
    <definedName name="qgm" localSheetId="39">#REF!</definedName>
    <definedName name="qgm" localSheetId="38">#REF!</definedName>
    <definedName name="qgm">#REF!</definedName>
    <definedName name="QUANT" localSheetId="39">#REF!</definedName>
    <definedName name="QUANT" localSheetId="38">#REF!</definedName>
    <definedName name="QUANT">#REF!</definedName>
    <definedName name="RCA15I" localSheetId="39">#REF!</definedName>
    <definedName name="RCA15I" localSheetId="38">#REF!</definedName>
    <definedName name="RCA15I">#REF!</definedName>
    <definedName name="RCA15P" localSheetId="39">#REF!</definedName>
    <definedName name="RCA15P" localSheetId="38">#REF!</definedName>
    <definedName name="RCA15P">#REF!</definedName>
    <definedName name="RCA25I" localSheetId="39">#REF!</definedName>
    <definedName name="RCA25I" localSheetId="38">#REF!</definedName>
    <definedName name="RCA25I">#REF!</definedName>
    <definedName name="RCA25P" localSheetId="39">#REF!</definedName>
    <definedName name="RCA25P" localSheetId="38">#REF!</definedName>
    <definedName name="RCA25P">#REF!</definedName>
    <definedName name="rec" localSheetId="39">#REF!</definedName>
    <definedName name="rec" localSheetId="38">#REF!</definedName>
    <definedName name="rec">#REF!</definedName>
    <definedName name="REFERENCIA.Descricao" hidden="1">IF(ISNUMBER('[5]PLANILHA ORÇAMENTÁRIA'!$AD1),OFFSET(INDIRECT(P.12),'[5]PLANILHA ORÇAMENTÁRIA'!$AD1-1,3,1),'[5]PLANILHA ORÇAMENTÁRIA'!$AD1)</definedName>
    <definedName name="REFERENCIA.Unidade" hidden="1">IF(ISNUMBER('[5]PLANILHA ORÇAMENTÁRIA'!$AD1),OFFSET(INDIRECT(P.12),'[5]PLANILHA ORÇAMENTÁRIA'!$AD1-1,4,1),"-")</definedName>
    <definedName name="RES" localSheetId="39">#REF!</definedName>
    <definedName name="RES" localSheetId="38">#REF!</definedName>
    <definedName name="RES">#REF!</definedName>
    <definedName name="RETROI" localSheetId="39">#REF!</definedName>
    <definedName name="RETROI" localSheetId="38">#REF!</definedName>
    <definedName name="RETROI">#REF!</definedName>
    <definedName name="RETROP" localSheetId="39">#REF!</definedName>
    <definedName name="RETROP" localSheetId="38">#REF!</definedName>
    <definedName name="RETROP">#REF!</definedName>
    <definedName name="rgp1\2" localSheetId="39">#REF!</definedName>
    <definedName name="rgp1\2" localSheetId="38">#REF!</definedName>
    <definedName name="rgp1\2">#REF!</definedName>
    <definedName name="RLCG11I" localSheetId="39">#REF!</definedName>
    <definedName name="RLCG11I" localSheetId="38">#REF!</definedName>
    <definedName name="RLCG11I">#REF!</definedName>
    <definedName name="RLCG11P" localSheetId="39">#REF!</definedName>
    <definedName name="RLCG11P" localSheetId="38">#REF!</definedName>
    <definedName name="RLCG11P">#REF!</definedName>
    <definedName name="RLI" localSheetId="39">#REF!</definedName>
    <definedName name="RLI" localSheetId="38">#REF!</definedName>
    <definedName name="RLI">#REF!</definedName>
    <definedName name="RLISOI" localSheetId="39">#REF!</definedName>
    <definedName name="RLISOI" localSheetId="38">#REF!</definedName>
    <definedName name="RLISOI">#REF!</definedName>
    <definedName name="RLISOP" localSheetId="39">#REF!</definedName>
    <definedName name="RLISOP" localSheetId="38">#REF!</definedName>
    <definedName name="RLISOP">#REF!</definedName>
    <definedName name="RLP" localSheetId="39">#REF!</definedName>
    <definedName name="RLP" localSheetId="38">#REF!</definedName>
    <definedName name="RLP">#REF!</definedName>
    <definedName name="RPI" localSheetId="39">#REF!</definedName>
    <definedName name="RPI" localSheetId="38">#REF!</definedName>
    <definedName name="RPI">#REF!</definedName>
    <definedName name="RPNEUSI" localSheetId="39">#REF!</definedName>
    <definedName name="RPNEUSI" localSheetId="38">#REF!</definedName>
    <definedName name="RPNEUSI">#REF!</definedName>
    <definedName name="RPNEUSP" localSheetId="39">#REF!</definedName>
    <definedName name="RPNEUSP" localSheetId="38">#REF!</definedName>
    <definedName name="RPNEUSP">#REF!</definedName>
    <definedName name="RPP" localSheetId="39">#REF!</definedName>
    <definedName name="RPP" localSheetId="38">#REF!</definedName>
    <definedName name="RPP">#REF!</definedName>
    <definedName name="S1.1" localSheetId="39">#REF!</definedName>
    <definedName name="S1.1" localSheetId="38">#REF!</definedName>
    <definedName name="S1.1">#REF!</definedName>
    <definedName name="S1.2" localSheetId="39">#REF!</definedName>
    <definedName name="S1.2" localSheetId="38">#REF!</definedName>
    <definedName name="S1.2">#REF!</definedName>
    <definedName name="S1.3" localSheetId="39">#REF!</definedName>
    <definedName name="S1.3" localSheetId="38">#REF!</definedName>
    <definedName name="S1.3">#REF!</definedName>
    <definedName name="S1.4" localSheetId="39">#REF!</definedName>
    <definedName name="S1.4" localSheetId="38">#REF!</definedName>
    <definedName name="S1.4">#REF!</definedName>
    <definedName name="S1.5" localSheetId="39">#REF!</definedName>
    <definedName name="S1.5" localSheetId="38">#REF!</definedName>
    <definedName name="S1.5">#REF!</definedName>
    <definedName name="S2.1" localSheetId="39">#REF!</definedName>
    <definedName name="S2.1" localSheetId="38">#REF!</definedName>
    <definedName name="S2.1">#REF!</definedName>
    <definedName name="S2.2" localSheetId="39">#REF!</definedName>
    <definedName name="S2.2" localSheetId="38">#REF!</definedName>
    <definedName name="S2.2">#REF!</definedName>
    <definedName name="SAL" localSheetId="39">#REF!</definedName>
    <definedName name="SAL" localSheetId="38">#REF!</definedName>
    <definedName name="SAL">#REF!</definedName>
    <definedName name="sd" localSheetId="39">#REF!</definedName>
    <definedName name="sd" localSheetId="38">#REF!</definedName>
    <definedName name="sd">#REF!</definedName>
    <definedName name="sin" localSheetId="39">#REF!</definedName>
    <definedName name="sin" localSheetId="38">#REF!</definedName>
    <definedName name="sin">#REF!</definedName>
    <definedName name="SMIN" localSheetId="39">#REF!</definedName>
    <definedName name="SMIN" localSheetId="38">#REF!</definedName>
    <definedName name="SMIN">#REF!</definedName>
    <definedName name="SomaAgrup" hidden="1">SUMIF(OFFSET('[5]PLANILHA ORÇAMENTÁRIA'!$B1,1,0,'[5]PLANILHA ORÇAMENTÁRIA'!$C1),"S",OFFSET('[5]PLANILHA ORÇAMENTÁRIA'!A1,1,0,'[5]PLANILHA ORÇAMENTÁRIA'!$C1))</definedName>
    <definedName name="srv" localSheetId="39">#REF!</definedName>
    <definedName name="srv" localSheetId="38">#REF!</definedName>
    <definedName name="srv">#REF!</definedName>
    <definedName name="SSS" localSheetId="39">[2]ORC!#REF!</definedName>
    <definedName name="SSS" localSheetId="29">[3]ORC!#REF!</definedName>
    <definedName name="SSS" localSheetId="38">[3]ORC!#REF!</definedName>
    <definedName name="SSS">[3]ORC!#REF!</definedName>
    <definedName name="svt" localSheetId="39">#REF!</definedName>
    <definedName name="svt" localSheetId="38">#REF!</definedName>
    <definedName name="svt">#REF!</definedName>
    <definedName name="sx" localSheetId="39">#REF!</definedName>
    <definedName name="sx" localSheetId="38">#REF!</definedName>
    <definedName name="sx">#REF!</definedName>
    <definedName name="sxo" localSheetId="39">#REF!</definedName>
    <definedName name="sxo" localSheetId="38">#REF!</definedName>
    <definedName name="sxo">#REF!</definedName>
    <definedName name="T.1" localSheetId="39">#REF!</definedName>
    <definedName name="T.1" localSheetId="38">#REF!</definedName>
    <definedName name="T.1">#REF!</definedName>
    <definedName name="T.10" localSheetId="39">#REF!</definedName>
    <definedName name="T.10" localSheetId="38">#REF!</definedName>
    <definedName name="T.10">#REF!</definedName>
    <definedName name="T.11" localSheetId="39">#REF!</definedName>
    <definedName name="T.11" localSheetId="38">#REF!</definedName>
    <definedName name="T.11">#REF!</definedName>
    <definedName name="T.12" localSheetId="39">#REF!</definedName>
    <definedName name="T.12" localSheetId="38">#REF!</definedName>
    <definedName name="T.12">#REF!</definedName>
    <definedName name="T.13" localSheetId="39">#REF!</definedName>
    <definedName name="T.13" localSheetId="38">#REF!</definedName>
    <definedName name="T.13">#REF!</definedName>
    <definedName name="T.14" localSheetId="39">#REF!</definedName>
    <definedName name="T.14" localSheetId="38">#REF!</definedName>
    <definedName name="T.14">#REF!</definedName>
    <definedName name="T.15" localSheetId="39">#REF!</definedName>
    <definedName name="T.15" localSheetId="38">#REF!</definedName>
    <definedName name="T.15">#REF!</definedName>
    <definedName name="T.2" localSheetId="39">#REF!</definedName>
    <definedName name="T.2" localSheetId="38">#REF!</definedName>
    <definedName name="T.2">#REF!</definedName>
    <definedName name="T.3" localSheetId="39">#REF!</definedName>
    <definedName name="T.3" localSheetId="38">#REF!</definedName>
    <definedName name="T.3">#REF!</definedName>
    <definedName name="T.4" localSheetId="39">#REF!</definedName>
    <definedName name="T.4" localSheetId="38">#REF!</definedName>
    <definedName name="T.4">#REF!</definedName>
    <definedName name="T.5" localSheetId="39">#REF!</definedName>
    <definedName name="T.5" localSheetId="38">#REF!</definedName>
    <definedName name="T.5">#REF!</definedName>
    <definedName name="T.6" localSheetId="39">#REF!</definedName>
    <definedName name="T.6" localSheetId="38">#REF!</definedName>
    <definedName name="T.6">#REF!</definedName>
    <definedName name="T.7" localSheetId="39">#REF!</definedName>
    <definedName name="T.7" localSheetId="38">#REF!</definedName>
    <definedName name="T.7">#REF!</definedName>
    <definedName name="T.8" localSheetId="39">#REF!</definedName>
    <definedName name="T.8" localSheetId="38">#REF!</definedName>
    <definedName name="T.8">#REF!</definedName>
    <definedName name="T.9" localSheetId="39">#REF!</definedName>
    <definedName name="T.9" localSheetId="38">#REF!</definedName>
    <definedName name="T.9">#REF!</definedName>
    <definedName name="TaxadeQuilometragem">#REF!</definedName>
    <definedName name="tb100cm" localSheetId="39">#REF!</definedName>
    <definedName name="tb100cm" localSheetId="38">#REF!</definedName>
    <definedName name="tb100cm">#REF!</definedName>
    <definedName name="tb60cm" localSheetId="39">#REF!</definedName>
    <definedName name="tb60cm" localSheetId="38">#REF!</definedName>
    <definedName name="tb60cm">#REF!</definedName>
    <definedName name="tb80cm" localSheetId="39">#REF!</definedName>
    <definedName name="tb80cm" localSheetId="38">#REF!</definedName>
    <definedName name="tb80cm">#REF!</definedName>
    <definedName name="tbv" localSheetId="39">#REF!</definedName>
    <definedName name="tbv" localSheetId="38">#REF!</definedName>
    <definedName name="tbv">#REF!</definedName>
    <definedName name="telha">NA()</definedName>
    <definedName name="TID" localSheetId="39">#REF!</definedName>
    <definedName name="TID" localSheetId="38">#REF!</definedName>
    <definedName name="TID">#REF!</definedName>
    <definedName name="TIPOORCAMENTO" hidden="1">IF(VALUE(#REF!)=2,"Licitado","Proposto")</definedName>
    <definedName name="_xlnm.Print_Titles" localSheetId="29">'COMPOSIÇÃO DE PREÇO UNITÁRIO'!$1:$10</definedName>
    <definedName name="_xlnm.Print_Titles" localSheetId="36">CPUs!$1:$3</definedName>
    <definedName name="_xlnm.Print_Titles" localSheetId="8">'MC - Baixão dos Julios'!$1:$12</definedName>
    <definedName name="_xlnm.Print_Titles" localSheetId="34">'MC - PONTE DE MADEIRA'!$1:$25</definedName>
    <definedName name="_xlnm.Print_Titles" localSheetId="4">'MC - Pov. Cigana'!$1:$12</definedName>
    <definedName name="_xlnm.Print_Titles" localSheetId="26">'MC - S.J. das Varas'!$1:$12</definedName>
    <definedName name="_xlnm.Print_Titles" localSheetId="6">'MC - Santa Rosa'!$1:$12</definedName>
    <definedName name="_xlnm.Print_Titles" localSheetId="2">'MC - Serviços Preliminares'!$1:$12</definedName>
    <definedName name="_xlnm.Print_Titles" localSheetId="31">'MC - Varas'!$1:$12</definedName>
    <definedName name="_xlnm.Print_Titles" localSheetId="28">'MEMORIA DE CALCULO'!$1:$12</definedName>
    <definedName name="_xlnm.Print_Titles" localSheetId="3">'Orçamento Ata Pontes'!$1:$4</definedName>
    <definedName name="tjc" localSheetId="39">#REF!</definedName>
    <definedName name="tjc" localSheetId="38">#REF!</definedName>
    <definedName name="tjc">#REF!</definedName>
    <definedName name="tjf" localSheetId="39">#REF!</definedName>
    <definedName name="tjf" localSheetId="38">#REF!</definedName>
    <definedName name="tjf">#REF!</definedName>
    <definedName name="tlc" localSheetId="39">#REF!</definedName>
    <definedName name="tlc" localSheetId="38">#REF!</definedName>
    <definedName name="tlc">#REF!</definedName>
    <definedName name="tlf" localSheetId="39">#REF!</definedName>
    <definedName name="tlf" localSheetId="38">#REF!</definedName>
    <definedName name="tlf">#REF!</definedName>
    <definedName name="tnp1\2" localSheetId="39">#REF!</definedName>
    <definedName name="tnp1\2" localSheetId="38">#REF!</definedName>
    <definedName name="tnp1\2">#REF!</definedName>
    <definedName name="to" localSheetId="39">#REF!</definedName>
    <definedName name="to" localSheetId="38">#REF!</definedName>
    <definedName name="to">#REF!</definedName>
    <definedName name="top" localSheetId="39">#REF!</definedName>
    <definedName name="top" localSheetId="38">#REF!</definedName>
    <definedName name="top">#REF!</definedName>
    <definedName name="TOT" localSheetId="39">#REF!</definedName>
    <definedName name="TOT" localSheetId="38">#REF!</definedName>
    <definedName name="TOT">#REF!</definedName>
    <definedName name="TOT.1" localSheetId="39">#REF!</definedName>
    <definedName name="TOT.1" localSheetId="38">#REF!</definedName>
    <definedName name="TOT.1">#REF!</definedName>
    <definedName name="TOT.2" localSheetId="39">#REF!</definedName>
    <definedName name="TOT.2" localSheetId="38">#REF!</definedName>
    <definedName name="TOT.2">#REF!</definedName>
    <definedName name="TOT.3" localSheetId="39">#REF!</definedName>
    <definedName name="TOT.3" localSheetId="38">#REF!</definedName>
    <definedName name="TOT.3">#REF!</definedName>
    <definedName name="TOT.4" localSheetId="39">#REF!</definedName>
    <definedName name="TOT.4" localSheetId="38">#REF!</definedName>
    <definedName name="TOT.4">#REF!</definedName>
    <definedName name="TOT.5" localSheetId="39">#REF!</definedName>
    <definedName name="TOT.5" localSheetId="38">#REF!</definedName>
    <definedName name="TOT.5">#REF!</definedName>
    <definedName name="TOT.6" localSheetId="39">#REF!</definedName>
    <definedName name="TOT.6" localSheetId="38">#REF!</definedName>
    <definedName name="TOT.6">#REF!</definedName>
    <definedName name="TOT.P" localSheetId="39">#REF!</definedName>
    <definedName name="TOT.P" localSheetId="38">#REF!</definedName>
    <definedName name="TOT.P">#REF!</definedName>
    <definedName name="TOT1.P" localSheetId="39">#REF!</definedName>
    <definedName name="TOT1.P" localSheetId="38">#REF!</definedName>
    <definedName name="TOT1.P">#REF!</definedName>
    <definedName name="TOTAL" localSheetId="39">#REF!</definedName>
    <definedName name="TOTAL" localSheetId="38">#REF!</definedName>
    <definedName name="TOTAL">#REF!</definedName>
    <definedName name="TPI" localSheetId="39">#REF!</definedName>
    <definedName name="TPI" localSheetId="38">#REF!</definedName>
    <definedName name="TPI">#REF!</definedName>
    <definedName name="tpl1\2" localSheetId="39">#REF!</definedName>
    <definedName name="tpl1\2" localSheetId="38">#REF!</definedName>
    <definedName name="tpl1\2">#REF!</definedName>
    <definedName name="tpmfs" localSheetId="39">#REF!</definedName>
    <definedName name="tpmfs" localSheetId="38">#REF!</definedName>
    <definedName name="tpmfs">#REF!</definedName>
    <definedName name="TPP" localSheetId="39">#REF!</definedName>
    <definedName name="TPP" localSheetId="38">#REF!</definedName>
    <definedName name="TPP">#REF!</definedName>
    <definedName name="TR" localSheetId="39">#REF!</definedName>
    <definedName name="TR" localSheetId="38">#REF!</definedName>
    <definedName name="TR">#REF!</definedName>
    <definedName name="trb" localSheetId="39">#REF!</definedName>
    <definedName name="trb" localSheetId="38">#REF!</definedName>
    <definedName name="trb">#REF!</definedName>
    <definedName name="TRTD6I" localSheetId="39">#REF!</definedName>
    <definedName name="TRTD6I" localSheetId="38">#REF!</definedName>
    <definedName name="TRTD6I">#REF!</definedName>
    <definedName name="TRTD6P" localSheetId="39">#REF!</definedName>
    <definedName name="TRTD6P" localSheetId="38">#REF!</definedName>
    <definedName name="TRTD6P">#REF!</definedName>
    <definedName name="TRTD8I" localSheetId="39">#REF!</definedName>
    <definedName name="TRTD8I" localSheetId="38">#REF!</definedName>
    <definedName name="TRTD8I">#REF!</definedName>
    <definedName name="TRTD8P" localSheetId="39">#REF!</definedName>
    <definedName name="TRTD8P" localSheetId="38">#REF!</definedName>
    <definedName name="TRTD8P">#REF!</definedName>
    <definedName name="TRTPI" localSheetId="39">#REF!</definedName>
    <definedName name="TRTPI" localSheetId="38">#REF!</definedName>
    <definedName name="TRTPI">#REF!</definedName>
    <definedName name="TRTPP" localSheetId="39">#REF!</definedName>
    <definedName name="TRTPP" localSheetId="38">#REF!</definedName>
    <definedName name="TRTPP">#REF!</definedName>
    <definedName name="TT.1" localSheetId="39">#REF!</definedName>
    <definedName name="TT.1" localSheetId="38">#REF!</definedName>
    <definedName name="TT.1">#REF!</definedName>
    <definedName name="TT.10" localSheetId="39">#REF!</definedName>
    <definedName name="TT.10" localSheetId="38">#REF!</definedName>
    <definedName name="TT.10">#REF!</definedName>
    <definedName name="TT.11" localSheetId="39">#REF!</definedName>
    <definedName name="TT.11" localSheetId="38">#REF!</definedName>
    <definedName name="TT.11">#REF!</definedName>
    <definedName name="TT.12" localSheetId="39">#REF!</definedName>
    <definedName name="TT.12" localSheetId="38">#REF!</definedName>
    <definedName name="TT.12">#REF!</definedName>
    <definedName name="TT.13" localSheetId="39">#REF!</definedName>
    <definedName name="TT.13" localSheetId="38">#REF!</definedName>
    <definedName name="TT.13">#REF!</definedName>
    <definedName name="TT.14" localSheetId="39">#REF!</definedName>
    <definedName name="TT.14" localSheetId="38">#REF!</definedName>
    <definedName name="TT.14">#REF!</definedName>
    <definedName name="TT.15" localSheetId="39">#REF!</definedName>
    <definedName name="TT.15" localSheetId="38">#REF!</definedName>
    <definedName name="TT.15">#REF!</definedName>
    <definedName name="TT.2" localSheetId="39">#REF!</definedName>
    <definedName name="TT.2" localSheetId="38">#REF!</definedName>
    <definedName name="TT.2">#REF!</definedName>
    <definedName name="TT.3" localSheetId="39">#REF!</definedName>
    <definedName name="TT.3" localSheetId="38">#REF!</definedName>
    <definedName name="TT.3">#REF!</definedName>
    <definedName name="TT.4" localSheetId="39">#REF!</definedName>
    <definedName name="TT.4" localSheetId="38">#REF!</definedName>
    <definedName name="TT.4">#REF!</definedName>
    <definedName name="TT.5" localSheetId="39">#REF!</definedName>
    <definedName name="TT.5" localSheetId="38">#REF!</definedName>
    <definedName name="TT.5">#REF!</definedName>
    <definedName name="TT.6" localSheetId="39">#REF!</definedName>
    <definedName name="TT.6" localSheetId="38">#REF!</definedName>
    <definedName name="TT.6">#REF!</definedName>
    <definedName name="TT.7" localSheetId="39">#REF!</definedName>
    <definedName name="TT.7" localSheetId="38">#REF!</definedName>
    <definedName name="TT.7">#REF!</definedName>
    <definedName name="TT.8" localSheetId="39">#REF!</definedName>
    <definedName name="TT.8" localSheetId="38">#REF!</definedName>
    <definedName name="TT.8">#REF!</definedName>
    <definedName name="TT.9" localSheetId="39">#REF!</definedName>
    <definedName name="TT.9" localSheetId="38">#REF!</definedName>
    <definedName name="TT.9">#REF!</definedName>
    <definedName name="ttc" localSheetId="39">#REF!</definedName>
    <definedName name="ttc" localSheetId="38">#REF!</definedName>
    <definedName name="ttc">#REF!</definedName>
    <definedName name="tte" localSheetId="39">#REF!</definedName>
    <definedName name="tte" localSheetId="38">#REF!</definedName>
    <definedName name="tte">#REF!</definedName>
    <definedName name="Tuboscon" localSheetId="39">#REF!</definedName>
    <definedName name="Tuboscon" localSheetId="38">#REF!</definedName>
    <definedName name="Tuboscon">#REF!</definedName>
    <definedName name="tus" localSheetId="39">#REF!</definedName>
    <definedName name="tus" localSheetId="38">#REF!</definedName>
    <definedName name="tus">#REF!</definedName>
    <definedName name="USS" localSheetId="39">#REF!</definedName>
    <definedName name="USS" localSheetId="38">#REF!</definedName>
    <definedName name="USS">#REF!</definedName>
    <definedName name="V" localSheetId="39">#REF!</definedName>
    <definedName name="V" localSheetId="38">#REF!</definedName>
    <definedName name="V">#REF!</definedName>
    <definedName name="vbn" localSheetId="39">#REF!</definedName>
    <definedName name="vbn" localSheetId="38">#REF!</definedName>
    <definedName name="vbn">#REF!</definedName>
    <definedName name="vcx" localSheetId="39">#REF!</definedName>
    <definedName name="vcx" localSheetId="38">#REF!</definedName>
    <definedName name="vcx">#REF!</definedName>
    <definedName name="VII" localSheetId="39">#REF!</definedName>
    <definedName name="VII" localSheetId="38">#REF!</definedName>
    <definedName name="VII">#REF!</definedName>
    <definedName name="VIP" localSheetId="39">#REF!</definedName>
    <definedName name="VIP" localSheetId="38">#REF!</definedName>
    <definedName name="VIP">#REF!</definedName>
    <definedName name="VLR" localSheetId="39">#REF!</definedName>
    <definedName name="VLR" localSheetId="38">#REF!</definedName>
    <definedName name="VLR">#REF!</definedName>
    <definedName name="vsb" localSheetId="39">#REF!</definedName>
    <definedName name="vsb" localSheetId="38">#REF!</definedName>
    <definedName name="vsb">#REF!</definedName>
    <definedName name="VTOTAL1" hidden="1">ROUND('[5]PLANILHA ORÇAMENTÁRIA'!$R1*'[5]PLANILHA ORÇAMENTÁRIA'!$U1,15-13*'[5]PLANILHA ORÇAMENTÁRIA'!#REF!)</definedName>
    <definedName name="vzx" localSheetId="39">#REF!</definedName>
    <definedName name="vzx" localSheetId="38">#REF!</definedName>
    <definedName name="vzx">#REF!</definedName>
    <definedName name="X" localSheetId="39">#REF!</definedName>
    <definedName name="X" localSheetId="38">#REF!</definedName>
    <definedName name="X">#REF!</definedName>
    <definedName name="XC" localSheetId="39">#REF!</definedName>
    <definedName name="XC" localSheetId="38">#REF!</definedName>
    <definedName name="XC">#REF!</definedName>
    <definedName name="XCVZ" localSheetId="39">#REF!</definedName>
    <definedName name="XCVZ" localSheetId="38">#REF!</definedName>
    <definedName name="XCVZ">#REF!</definedName>
    <definedName name="xxx" localSheetId="39">[2]ORC!#REF!</definedName>
    <definedName name="XXX" localSheetId="29">#REF!</definedName>
    <definedName name="xxx" localSheetId="38">[3]ORC!#REF!</definedName>
    <definedName name="XXX">#REF!</definedName>
    <definedName name="XXXX" localSheetId="39">#REF!</definedName>
    <definedName name="XXXX" localSheetId="38">#REF!</definedName>
    <definedName name="XXXX">#REF!</definedName>
    <definedName name="xxxxx" localSheetId="39">#REF!</definedName>
    <definedName name="xxxxx" localSheetId="38">#REF!</definedName>
    <definedName name="xxxxx">#REF!</definedName>
    <definedName name="XXXXXXX">#REF!</definedName>
    <definedName name="zx" localSheetId="39">#REF!</definedName>
    <definedName name="zx" localSheetId="38">#REF!</definedName>
    <definedName name="z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93" l="1"/>
  <c r="J26" i="40"/>
  <c r="J23" i="40"/>
  <c r="J22" i="40"/>
  <c r="J39" i="93"/>
  <c r="C31" i="93"/>
  <c r="C29" i="93"/>
  <c r="C27" i="93"/>
  <c r="C25" i="93"/>
  <c r="C23" i="93"/>
  <c r="C19" i="93"/>
  <c r="C17" i="93"/>
  <c r="C15" i="93"/>
  <c r="C13" i="93"/>
  <c r="C11" i="93"/>
  <c r="C7" i="93"/>
  <c r="G58" i="40"/>
  <c r="H58" i="40" s="1"/>
  <c r="I58" i="40" s="1"/>
  <c r="G57" i="40"/>
  <c r="H57" i="40" s="1"/>
  <c r="I57" i="40" s="1"/>
  <c r="G54" i="40"/>
  <c r="H54" i="40" s="1"/>
  <c r="I54" i="40" s="1"/>
  <c r="G53" i="40"/>
  <c r="H53" i="40" s="1"/>
  <c r="I53" i="40" s="1"/>
  <c r="G52" i="40"/>
  <c r="H52" i="40" s="1"/>
  <c r="I52" i="40" s="1"/>
  <c r="G51" i="40"/>
  <c r="H51" i="40" s="1"/>
  <c r="I51" i="40" s="1"/>
  <c r="G50" i="40"/>
  <c r="H50" i="40" s="1"/>
  <c r="I50" i="40" s="1"/>
  <c r="G49" i="40"/>
  <c r="H49" i="40" s="1"/>
  <c r="I49" i="40" s="1"/>
  <c r="G48" i="40"/>
  <c r="H48" i="40" s="1"/>
  <c r="I48" i="40" s="1"/>
  <c r="G47" i="40"/>
  <c r="H47" i="40" s="1"/>
  <c r="I47" i="40" s="1"/>
  <c r="G45" i="40"/>
  <c r="H45" i="40" s="1"/>
  <c r="I45" i="40" s="1"/>
  <c r="G44" i="40"/>
  <c r="H44" i="40" s="1"/>
  <c r="I44" i="40" s="1"/>
  <c r="G43" i="40"/>
  <c r="H43" i="40" s="1"/>
  <c r="I43" i="40" s="1"/>
  <c r="G42" i="40"/>
  <c r="H42" i="40" s="1"/>
  <c r="I42" i="40" s="1"/>
  <c r="G41" i="40"/>
  <c r="G39" i="40"/>
  <c r="H39" i="40" s="1"/>
  <c r="I39" i="40" s="1"/>
  <c r="G38" i="40"/>
  <c r="H38" i="40" s="1"/>
  <c r="I38" i="40" s="1"/>
  <c r="G37" i="40"/>
  <c r="H37" i="40" s="1"/>
  <c r="I37" i="40" s="1"/>
  <c r="G35" i="40"/>
  <c r="H35" i="40" s="1"/>
  <c r="I35" i="40" s="1"/>
  <c r="I34" i="40" s="1"/>
  <c r="C24" i="93" s="1"/>
  <c r="H56" i="40"/>
  <c r="I56" i="40" s="1"/>
  <c r="H41" i="40"/>
  <c r="I41" i="40" s="1"/>
  <c r="C60" i="90"/>
  <c r="C59" i="90"/>
  <c r="I35" i="90"/>
  <c r="W30" i="89"/>
  <c r="D18" i="90"/>
  <c r="C18" i="90" s="1"/>
  <c r="I69" i="90"/>
  <c r="I70" i="90" s="1"/>
  <c r="C69" i="90"/>
  <c r="F68" i="90"/>
  <c r="C68" i="90"/>
  <c r="F67" i="90"/>
  <c r="G67" i="90" s="1"/>
  <c r="F60" i="90"/>
  <c r="F59" i="90"/>
  <c r="E59" i="90"/>
  <c r="E68" i="90" s="1"/>
  <c r="F58" i="90"/>
  <c r="G58" i="90" s="1"/>
  <c r="K54" i="90"/>
  <c r="D51" i="90"/>
  <c r="H51" i="90" s="1"/>
  <c r="I51" i="90" s="1"/>
  <c r="C51" i="90"/>
  <c r="C49" i="90" s="1"/>
  <c r="F50" i="90"/>
  <c r="F51" i="90" s="1"/>
  <c r="G51" i="90" s="1"/>
  <c r="C50" i="90"/>
  <c r="F49" i="90"/>
  <c r="E49" i="90"/>
  <c r="E60" i="90" s="1"/>
  <c r="E69" i="90" s="1"/>
  <c r="G48" i="90"/>
  <c r="E48" i="90"/>
  <c r="D48" i="90"/>
  <c r="C48" i="90"/>
  <c r="G47" i="90"/>
  <c r="F47" i="90"/>
  <c r="D42" i="90"/>
  <c r="F42" i="90" s="1"/>
  <c r="G42" i="90" s="1"/>
  <c r="D41" i="90"/>
  <c r="C41" i="90"/>
  <c r="F41" i="90" s="1"/>
  <c r="H40" i="90"/>
  <c r="C39" i="90"/>
  <c r="F39" i="90" s="1"/>
  <c r="G39" i="90" s="1"/>
  <c r="D38" i="90"/>
  <c r="F38" i="90" s="1"/>
  <c r="I47" i="89" s="1"/>
  <c r="AC47" i="89" s="1"/>
  <c r="C38" i="90"/>
  <c r="D37" i="90"/>
  <c r="F37" i="90" s="1"/>
  <c r="G37" i="90" s="1"/>
  <c r="D36" i="90"/>
  <c r="F36" i="90" s="1"/>
  <c r="I45" i="89" s="1"/>
  <c r="AC45" i="89" s="1"/>
  <c r="H32" i="90"/>
  <c r="D30" i="90"/>
  <c r="J29" i="90"/>
  <c r="I31" i="90" s="1"/>
  <c r="D29" i="90" s="1"/>
  <c r="H27" i="90"/>
  <c r="D23" i="90"/>
  <c r="H22" i="90"/>
  <c r="H15" i="90"/>
  <c r="A89" i="89"/>
  <c r="AC53" i="89"/>
  <c r="AC52" i="89"/>
  <c r="C50" i="89"/>
  <c r="C49" i="89"/>
  <c r="C48" i="89"/>
  <c r="C47" i="89"/>
  <c r="C46" i="89"/>
  <c r="C45" i="89"/>
  <c r="C44" i="89"/>
  <c r="C43" i="89"/>
  <c r="C42" i="89"/>
  <c r="C41" i="89"/>
  <c r="C40" i="89"/>
  <c r="C39" i="89"/>
  <c r="C38" i="89"/>
  <c r="C37" i="89"/>
  <c r="AL36" i="89"/>
  <c r="C36" i="89"/>
  <c r="AL35" i="89"/>
  <c r="C35" i="89"/>
  <c r="O34" i="89"/>
  <c r="AC34" i="89" s="1"/>
  <c r="Y33" i="89"/>
  <c r="W33" i="89"/>
  <c r="S33" i="89"/>
  <c r="AE32" i="89"/>
  <c r="O32" i="89"/>
  <c r="AC32" i="89" s="1"/>
  <c r="C30" i="89"/>
  <c r="AC29" i="89"/>
  <c r="AF28" i="89"/>
  <c r="AC28" i="89"/>
  <c r="AC27" i="89"/>
  <c r="AG26" i="89"/>
  <c r="AF26" i="89"/>
  <c r="A10" i="89"/>
  <c r="A9" i="89"/>
  <c r="Q8" i="89"/>
  <c r="A8" i="89"/>
  <c r="Q7" i="89"/>
  <c r="A7" i="89"/>
  <c r="G68" i="90" l="1"/>
  <c r="Q35" i="89"/>
  <c r="AC35" i="89" s="1"/>
  <c r="Q33" i="89"/>
  <c r="AC33" i="89" s="1"/>
  <c r="D49" i="90"/>
  <c r="G49" i="90" s="1"/>
  <c r="G52" i="90" s="1"/>
  <c r="D60" i="90"/>
  <c r="D69" i="90" s="1"/>
  <c r="F69" i="90" s="1"/>
  <c r="G69" i="90" s="1"/>
  <c r="G70" i="90" s="1"/>
  <c r="G59" i="90"/>
  <c r="H50" i="90"/>
  <c r="I50" i="90" s="1"/>
  <c r="G50" i="90"/>
  <c r="K24" i="93"/>
  <c r="I24" i="93"/>
  <c r="M28" i="93"/>
  <c r="J24" i="93"/>
  <c r="H24" i="93"/>
  <c r="G24" i="93"/>
  <c r="D24" i="93"/>
  <c r="F24" i="93"/>
  <c r="M24" i="93"/>
  <c r="E24" i="93"/>
  <c r="L24" i="93"/>
  <c r="I55" i="40"/>
  <c r="C32" i="93" s="1"/>
  <c r="L32" i="93" s="1"/>
  <c r="I46" i="40"/>
  <c r="C30" i="93" s="1"/>
  <c r="I30" i="93" s="1"/>
  <c r="I40" i="40"/>
  <c r="C28" i="93" s="1"/>
  <c r="G28" i="93" s="1"/>
  <c r="I36" i="40"/>
  <c r="C26" i="93" s="1"/>
  <c r="E26" i="93" s="1"/>
  <c r="C22" i="90"/>
  <c r="C28" i="90" s="1"/>
  <c r="F28" i="90" s="1"/>
  <c r="G28" i="90" s="1"/>
  <c r="C30" i="90"/>
  <c r="F30" i="90" s="1"/>
  <c r="I42" i="89" s="1"/>
  <c r="AC42" i="89" s="1"/>
  <c r="C23" i="90"/>
  <c r="C29" i="90" s="1"/>
  <c r="F29" i="90" s="1"/>
  <c r="G29" i="90" s="1"/>
  <c r="G41" i="90"/>
  <c r="I50" i="89"/>
  <c r="AC50" i="89" s="1"/>
  <c r="G36" i="90"/>
  <c r="C40" i="90"/>
  <c r="F40" i="90" s="1"/>
  <c r="I49" i="89" s="1"/>
  <c r="AC49" i="89" s="1"/>
  <c r="I48" i="89"/>
  <c r="AC48" i="89" s="1"/>
  <c r="C31" i="90"/>
  <c r="F31" i="90" s="1"/>
  <c r="I46" i="89"/>
  <c r="AC46" i="89" s="1"/>
  <c r="G38" i="90"/>
  <c r="H28" i="93" l="1"/>
  <c r="L28" i="93"/>
  <c r="G60" i="90"/>
  <c r="G61" i="90" s="1"/>
  <c r="G62" i="90" s="1"/>
  <c r="K28" i="93"/>
  <c r="G30" i="93"/>
  <c r="M30" i="93"/>
  <c r="J28" i="93"/>
  <c r="H30" i="93"/>
  <c r="J30" i="93"/>
  <c r="D30" i="93"/>
  <c r="F28" i="93"/>
  <c r="G26" i="93"/>
  <c r="M26" i="93"/>
  <c r="H26" i="93"/>
  <c r="I26" i="93"/>
  <c r="J26" i="93"/>
  <c r="J22" i="93" s="1"/>
  <c r="D28" i="93"/>
  <c r="K26" i="93"/>
  <c r="K32" i="93"/>
  <c r="I32" i="93"/>
  <c r="E32" i="93"/>
  <c r="F26" i="93"/>
  <c r="M32" i="93"/>
  <c r="F32" i="93"/>
  <c r="E28" i="93"/>
  <c r="D26" i="93"/>
  <c r="K30" i="93"/>
  <c r="D32" i="93"/>
  <c r="G32" i="93"/>
  <c r="G22" i="93" s="1"/>
  <c r="H32" i="93"/>
  <c r="L26" i="93"/>
  <c r="I28" i="93"/>
  <c r="I22" i="93" s="1"/>
  <c r="L30" i="93"/>
  <c r="E30" i="93"/>
  <c r="F30" i="93"/>
  <c r="J32" i="93"/>
  <c r="F22" i="93"/>
  <c r="I33" i="40"/>
  <c r="J7" i="60" s="1"/>
  <c r="F22" i="90"/>
  <c r="G22" i="90" s="1"/>
  <c r="F23" i="90"/>
  <c r="G23" i="90" s="1"/>
  <c r="G24" i="90" s="1"/>
  <c r="I41" i="89"/>
  <c r="AC41" i="89" s="1"/>
  <c r="G30" i="90"/>
  <c r="G40" i="90"/>
  <c r="G43" i="90" s="1"/>
  <c r="I37" i="89"/>
  <c r="AC37" i="89" s="1"/>
  <c r="G31" i="90"/>
  <c r="I43" i="89"/>
  <c r="AC43" i="89" s="1"/>
  <c r="I40" i="89"/>
  <c r="AC40" i="89" s="1"/>
  <c r="A58" i="89"/>
  <c r="H22" i="93" l="1"/>
  <c r="M22" i="93"/>
  <c r="K22" i="93"/>
  <c r="E22" i="93"/>
  <c r="L22" i="93"/>
  <c r="D22" i="93"/>
  <c r="C22" i="93" s="1"/>
  <c r="I38" i="89"/>
  <c r="AC38" i="89" s="1"/>
  <c r="G32" i="90"/>
  <c r="F53" i="90" s="1"/>
  <c r="Q30" i="89" s="1"/>
  <c r="AC30" i="89" s="1"/>
  <c r="F32" i="40"/>
  <c r="F61" i="60"/>
  <c r="F61" i="79"/>
  <c r="F87" i="40"/>
  <c r="F61" i="35"/>
  <c r="F61" i="36"/>
  <c r="F69" i="60"/>
  <c r="F69" i="79"/>
  <c r="F95" i="40"/>
  <c r="F69" i="35"/>
  <c r="F69" i="36"/>
  <c r="I98" i="60"/>
  <c r="I98" i="79"/>
  <c r="I124" i="40"/>
  <c r="I98" i="35"/>
  <c r="I98" i="36"/>
  <c r="G33" i="60" l="1"/>
  <c r="Q5" i="88"/>
  <c r="N78" i="88"/>
  <c r="E76" i="88"/>
  <c r="F85" i="88" s="1"/>
  <c r="E75" i="88"/>
  <c r="E82" i="88" s="1"/>
  <c r="N82" i="88" s="1"/>
  <c r="F34" i="87" s="1"/>
  <c r="R71" i="88"/>
  <c r="D71" i="88"/>
  <c r="N71" i="88" s="1"/>
  <c r="N70" i="88" s="1"/>
  <c r="F29" i="87" s="1"/>
  <c r="R68" i="88"/>
  <c r="E68" i="88"/>
  <c r="R65" i="88"/>
  <c r="I65" i="88"/>
  <c r="E65" i="88"/>
  <c r="M65" i="88" s="1"/>
  <c r="N65" i="88" s="1"/>
  <c r="R64" i="88"/>
  <c r="R63" i="88"/>
  <c r="D63" i="88"/>
  <c r="D64" i="88" s="1"/>
  <c r="I62" i="88"/>
  <c r="I63" i="88" s="1"/>
  <c r="I64" i="88" s="1"/>
  <c r="M64" i="88" s="1"/>
  <c r="N64" i="88" s="1"/>
  <c r="R61" i="88"/>
  <c r="G61" i="88"/>
  <c r="R58" i="88"/>
  <c r="I58" i="88"/>
  <c r="F58" i="88"/>
  <c r="E58" i="88"/>
  <c r="M58" i="88" s="1"/>
  <c r="N58" i="88" s="1"/>
  <c r="R57" i="88"/>
  <c r="R56" i="88"/>
  <c r="D56" i="88"/>
  <c r="D57" i="88" s="1"/>
  <c r="I55" i="88"/>
  <c r="I56" i="88" s="1"/>
  <c r="R54" i="88"/>
  <c r="N54" i="88"/>
  <c r="N53" i="88" s="1"/>
  <c r="F26" i="87" s="1"/>
  <c r="M54" i="88"/>
  <c r="R51" i="88"/>
  <c r="E51" i="88"/>
  <c r="D51" i="88"/>
  <c r="N51" i="88" s="1"/>
  <c r="N50" i="88" s="1"/>
  <c r="F25" i="87" s="1"/>
  <c r="F39" i="88"/>
  <c r="F65" i="88" s="1"/>
  <c r="E39" i="88"/>
  <c r="M39" i="88" s="1"/>
  <c r="N39" i="88" s="1"/>
  <c r="I38" i="88"/>
  <c r="I43" i="88" s="1"/>
  <c r="D38" i="88"/>
  <c r="D43" i="88" s="1"/>
  <c r="N32" i="88"/>
  <c r="D26" i="88"/>
  <c r="N26" i="88" s="1"/>
  <c r="F24" i="88"/>
  <c r="F34" i="88" s="1"/>
  <c r="E24" i="88"/>
  <c r="G24" i="88" s="1"/>
  <c r="M24" i="88" s="1"/>
  <c r="N24" i="88" s="1"/>
  <c r="N20" i="88"/>
  <c r="G18" i="88"/>
  <c r="N18" i="88" s="1"/>
  <c r="P16" i="88"/>
  <c r="G16" i="88"/>
  <c r="N16" i="88" s="1"/>
  <c r="Q15" i="88"/>
  <c r="Q14" i="88"/>
  <c r="N14" i="88"/>
  <c r="Q13" i="88"/>
  <c r="U10" i="88"/>
  <c r="U8" i="88"/>
  <c r="U7" i="88"/>
  <c r="J7" i="88"/>
  <c r="M7" i="88" s="1"/>
  <c r="D68" i="88" s="1"/>
  <c r="N68" i="88" s="1"/>
  <c r="N67" i="88" s="1"/>
  <c r="F28" i="87" s="1"/>
  <c r="H37" i="87"/>
  <c r="I37" i="87" s="1"/>
  <c r="H36" i="87"/>
  <c r="F33" i="87"/>
  <c r="F32" i="87"/>
  <c r="H27" i="87"/>
  <c r="H26" i="87"/>
  <c r="H23" i="87"/>
  <c r="H22" i="87"/>
  <c r="H21" i="87"/>
  <c r="H20" i="87"/>
  <c r="H19" i="87"/>
  <c r="H16" i="87"/>
  <c r="I16" i="87" s="1"/>
  <c r="F16" i="87"/>
  <c r="H15" i="87"/>
  <c r="H14" i="87"/>
  <c r="H13" i="87"/>
  <c r="H7" i="87"/>
  <c r="Q8" i="86"/>
  <c r="J7" i="82"/>
  <c r="J7" i="84"/>
  <c r="M7" i="84" s="1"/>
  <c r="D68" i="84" s="1"/>
  <c r="N78" i="86"/>
  <c r="E75" i="86"/>
  <c r="R71" i="86"/>
  <c r="R68" i="86"/>
  <c r="E68" i="86"/>
  <c r="R65" i="86"/>
  <c r="I65" i="86"/>
  <c r="F65" i="86"/>
  <c r="E65" i="86"/>
  <c r="E76" i="86" s="1"/>
  <c r="F85" i="86" s="1"/>
  <c r="R64" i="86"/>
  <c r="R63" i="86"/>
  <c r="D63" i="86"/>
  <c r="D64" i="86" s="1"/>
  <c r="M62" i="86"/>
  <c r="N62" i="86" s="1"/>
  <c r="I62" i="86"/>
  <c r="I63" i="86" s="1"/>
  <c r="R61" i="86"/>
  <c r="G61" i="86"/>
  <c r="R58" i="86"/>
  <c r="I58" i="86"/>
  <c r="F58" i="86"/>
  <c r="M58" i="86" s="1"/>
  <c r="N58" i="86" s="1"/>
  <c r="E58" i="86"/>
  <c r="R57" i="86"/>
  <c r="R56" i="86"/>
  <c r="D56" i="86"/>
  <c r="D57" i="86" s="1"/>
  <c r="I55" i="86"/>
  <c r="I56" i="86" s="1"/>
  <c r="R54" i="86"/>
  <c r="M54" i="86"/>
  <c r="N54" i="86" s="1"/>
  <c r="N53" i="86" s="1"/>
  <c r="F26" i="85" s="1"/>
  <c r="R51" i="86"/>
  <c r="N51" i="86"/>
  <c r="N50" i="86" s="1"/>
  <c r="F25" i="85" s="1"/>
  <c r="E51" i="86"/>
  <c r="D51" i="86"/>
  <c r="D43" i="86"/>
  <c r="M39" i="86"/>
  <c r="N39" i="86" s="1"/>
  <c r="F39" i="86"/>
  <c r="E39" i="86"/>
  <c r="I38" i="86"/>
  <c r="I43" i="86" s="1"/>
  <c r="M43" i="86" s="1"/>
  <c r="N43" i="86" s="1"/>
  <c r="D38" i="86"/>
  <c r="D61" i="86" s="1"/>
  <c r="F34" i="86"/>
  <c r="N32" i="86"/>
  <c r="F16" i="85" s="1"/>
  <c r="D26" i="86"/>
  <c r="N26" i="86" s="1"/>
  <c r="F24" i="86"/>
  <c r="E24" i="86"/>
  <c r="G24" i="86" s="1"/>
  <c r="M24" i="86" s="1"/>
  <c r="N24" i="86" s="1"/>
  <c r="N20" i="86"/>
  <c r="G18" i="86"/>
  <c r="N18" i="86" s="1"/>
  <c r="F8" i="85" s="1"/>
  <c r="P16" i="86"/>
  <c r="G16" i="86"/>
  <c r="N16" i="86" s="1"/>
  <c r="F7" i="85" s="1"/>
  <c r="I7" i="85" s="1"/>
  <c r="Q15" i="86"/>
  <c r="Q14" i="86"/>
  <c r="N14" i="86"/>
  <c r="Q13" i="86"/>
  <c r="U10" i="86"/>
  <c r="U8" i="86"/>
  <c r="U7" i="86"/>
  <c r="J7" i="86"/>
  <c r="M7" i="86" s="1"/>
  <c r="D68" i="86" s="1"/>
  <c r="N68" i="86" s="1"/>
  <c r="N67" i="86" s="1"/>
  <c r="F28" i="85" s="1"/>
  <c r="H37" i="85"/>
  <c r="I37" i="85" s="1"/>
  <c r="H36" i="85"/>
  <c r="F33" i="85"/>
  <c r="F32" i="85"/>
  <c r="H27" i="85"/>
  <c r="H26" i="85"/>
  <c r="H23" i="85"/>
  <c r="H22" i="85"/>
  <c r="H21" i="85"/>
  <c r="H20" i="85"/>
  <c r="H19" i="85"/>
  <c r="H16" i="85"/>
  <c r="H15" i="85"/>
  <c r="H14" i="85"/>
  <c r="H13" i="85"/>
  <c r="F9" i="85"/>
  <c r="H7" i="85"/>
  <c r="F6" i="85"/>
  <c r="Q6" i="84"/>
  <c r="N78" i="84"/>
  <c r="F32" i="83" s="1"/>
  <c r="E76" i="84"/>
  <c r="F85" i="84" s="1"/>
  <c r="D76" i="84"/>
  <c r="E75" i="84"/>
  <c r="E82" i="84" s="1"/>
  <c r="N82" i="84" s="1"/>
  <c r="F34" i="83" s="1"/>
  <c r="R71" i="84"/>
  <c r="D71" i="84"/>
  <c r="N71" i="84" s="1"/>
  <c r="N70" i="84" s="1"/>
  <c r="F29" i="83" s="1"/>
  <c r="R68" i="84"/>
  <c r="E68" i="84"/>
  <c r="R65" i="84"/>
  <c r="I65" i="84"/>
  <c r="E65" i="84"/>
  <c r="R64" i="84"/>
  <c r="D64" i="84"/>
  <c r="R63" i="84"/>
  <c r="D63" i="84"/>
  <c r="M62" i="84"/>
  <c r="N62" i="84" s="1"/>
  <c r="I62" i="84"/>
  <c r="I63" i="84" s="1"/>
  <c r="R61" i="84"/>
  <c r="G61" i="84"/>
  <c r="R58" i="84"/>
  <c r="I58" i="84"/>
  <c r="F58" i="84"/>
  <c r="E58" i="84"/>
  <c r="M58" i="84" s="1"/>
  <c r="N58" i="84" s="1"/>
  <c r="R57" i="84"/>
  <c r="I57" i="84"/>
  <c r="R56" i="84"/>
  <c r="M56" i="84"/>
  <c r="N56" i="84" s="1"/>
  <c r="I56" i="84"/>
  <c r="D56" i="84"/>
  <c r="D57" i="84" s="1"/>
  <c r="M55" i="84"/>
  <c r="N55" i="84" s="1"/>
  <c r="I55" i="84"/>
  <c r="R54" i="84"/>
  <c r="M54" i="84"/>
  <c r="N54" i="84" s="1"/>
  <c r="N53" i="84" s="1"/>
  <c r="F26" i="83" s="1"/>
  <c r="R51" i="84"/>
  <c r="E51" i="84"/>
  <c r="D51" i="84"/>
  <c r="N51" i="84" s="1"/>
  <c r="N50" i="84" s="1"/>
  <c r="F25" i="83" s="1"/>
  <c r="I43" i="84"/>
  <c r="M43" i="84" s="1"/>
  <c r="N43" i="84" s="1"/>
  <c r="D43" i="84"/>
  <c r="F39" i="84"/>
  <c r="F65" i="84" s="1"/>
  <c r="M65" i="84" s="1"/>
  <c r="N65" i="84" s="1"/>
  <c r="E39" i="84"/>
  <c r="M39" i="84" s="1"/>
  <c r="N39" i="84" s="1"/>
  <c r="M38" i="84"/>
  <c r="N38" i="84" s="1"/>
  <c r="I38" i="84"/>
  <c r="D38" i="84"/>
  <c r="D61" i="84" s="1"/>
  <c r="M61" i="84" s="1"/>
  <c r="N61" i="84" s="1"/>
  <c r="N32" i="84"/>
  <c r="D26" i="84"/>
  <c r="N26" i="84" s="1"/>
  <c r="G24" i="84"/>
  <c r="M24" i="84" s="1"/>
  <c r="N24" i="84" s="1"/>
  <c r="F24" i="84"/>
  <c r="F34" i="84" s="1"/>
  <c r="E24" i="84"/>
  <c r="E34" i="84" s="1"/>
  <c r="N20" i="84"/>
  <c r="N18" i="84"/>
  <c r="G18" i="84"/>
  <c r="P16" i="84"/>
  <c r="G16" i="84"/>
  <c r="N16" i="84" s="1"/>
  <c r="Q15" i="84"/>
  <c r="Q14" i="84"/>
  <c r="N14" i="84"/>
  <c r="Q13" i="84"/>
  <c r="U10" i="84"/>
  <c r="U8" i="84"/>
  <c r="U7" i="84"/>
  <c r="I37" i="83"/>
  <c r="H37" i="83"/>
  <c r="H36" i="83"/>
  <c r="F33" i="83"/>
  <c r="H27" i="83"/>
  <c r="H26" i="83"/>
  <c r="H23" i="83"/>
  <c r="H22" i="83"/>
  <c r="H21" i="83"/>
  <c r="H20" i="83"/>
  <c r="H19" i="83"/>
  <c r="H16" i="83"/>
  <c r="I16" i="83" s="1"/>
  <c r="F16" i="83"/>
  <c r="H15" i="83"/>
  <c r="H14" i="83"/>
  <c r="H13" i="83"/>
  <c r="H7" i="83"/>
  <c r="I7" i="83" s="1"/>
  <c r="Q5" i="82"/>
  <c r="N78" i="82"/>
  <c r="E76" i="82"/>
  <c r="F85" i="82" s="1"/>
  <c r="D76" i="82"/>
  <c r="N76" i="82" s="1"/>
  <c r="N75" i="82"/>
  <c r="E75" i="82"/>
  <c r="E85" i="82" s="1"/>
  <c r="R71" i="82"/>
  <c r="D71" i="82"/>
  <c r="N71" i="82" s="1"/>
  <c r="N70" i="82" s="1"/>
  <c r="F29" i="81" s="1"/>
  <c r="R68" i="82"/>
  <c r="E68" i="82"/>
  <c r="R65" i="82"/>
  <c r="I65" i="82"/>
  <c r="E65" i="82"/>
  <c r="R64" i="82"/>
  <c r="I64" i="82"/>
  <c r="M64" i="82" s="1"/>
  <c r="N64" i="82" s="1"/>
  <c r="D64" i="82"/>
  <c r="R63" i="82"/>
  <c r="N63" i="82"/>
  <c r="M63" i="82"/>
  <c r="I63" i="82"/>
  <c r="D63" i="82"/>
  <c r="I62" i="82"/>
  <c r="M62" i="82" s="1"/>
  <c r="N62" i="82" s="1"/>
  <c r="R61" i="82"/>
  <c r="G61" i="82"/>
  <c r="R58" i="82"/>
  <c r="I58" i="82"/>
  <c r="F58" i="82"/>
  <c r="E58" i="82"/>
  <c r="M58" i="82" s="1"/>
  <c r="N58" i="82" s="1"/>
  <c r="R57" i="82"/>
  <c r="R56" i="82"/>
  <c r="I56" i="82"/>
  <c r="I57" i="82" s="1"/>
  <c r="M57" i="82" s="1"/>
  <c r="N57" i="82" s="1"/>
  <c r="D56" i="82"/>
  <c r="D57" i="82" s="1"/>
  <c r="M55" i="82"/>
  <c r="N55" i="82" s="1"/>
  <c r="I55" i="82"/>
  <c r="R54" i="82"/>
  <c r="N54" i="82"/>
  <c r="N53" i="82" s="1"/>
  <c r="F26" i="81" s="1"/>
  <c r="M54" i="82"/>
  <c r="R51" i="82"/>
  <c r="E51" i="82"/>
  <c r="N51" i="82" s="1"/>
  <c r="N50" i="82" s="1"/>
  <c r="F25" i="81" s="1"/>
  <c r="D51" i="82"/>
  <c r="F39" i="82"/>
  <c r="F65" i="82" s="1"/>
  <c r="M65" i="82" s="1"/>
  <c r="N65" i="82" s="1"/>
  <c r="E39" i="82"/>
  <c r="M38" i="82"/>
  <c r="N38" i="82" s="1"/>
  <c r="I38" i="82"/>
  <c r="I43" i="82" s="1"/>
  <c r="D38" i="82"/>
  <c r="D61" i="82" s="1"/>
  <c r="M61" i="82" s="1"/>
  <c r="N61" i="82" s="1"/>
  <c r="F34" i="82"/>
  <c r="N32" i="82"/>
  <c r="N26" i="82"/>
  <c r="G28" i="82" s="1"/>
  <c r="D26" i="82"/>
  <c r="F24" i="82"/>
  <c r="E24" i="82"/>
  <c r="G24" i="82" s="1"/>
  <c r="M24" i="82" s="1"/>
  <c r="N24" i="82" s="1"/>
  <c r="N20" i="82"/>
  <c r="G18" i="82"/>
  <c r="N18" i="82" s="1"/>
  <c r="P16" i="82"/>
  <c r="G16" i="82"/>
  <c r="N16" i="82" s="1"/>
  <c r="Q15" i="82"/>
  <c r="Q14" i="82"/>
  <c r="N14" i="82"/>
  <c r="Q13" i="82"/>
  <c r="Q12" i="82"/>
  <c r="Q11" i="82"/>
  <c r="U10" i="82"/>
  <c r="Q10" i="82"/>
  <c r="Q9" i="82"/>
  <c r="U8" i="82"/>
  <c r="Q8" i="82"/>
  <c r="U7" i="82"/>
  <c r="Q7" i="82"/>
  <c r="M7" i="82"/>
  <c r="D68" i="82" s="1"/>
  <c r="N68" i="82" s="1"/>
  <c r="N67" i="82" s="1"/>
  <c r="F28" i="81" s="1"/>
  <c r="Q6" i="82"/>
  <c r="I37" i="81"/>
  <c r="H37" i="81"/>
  <c r="H36" i="81"/>
  <c r="F33" i="81"/>
  <c r="F32" i="81"/>
  <c r="H27" i="81"/>
  <c r="H26" i="81"/>
  <c r="H23" i="81"/>
  <c r="H22" i="81"/>
  <c r="H21" i="81"/>
  <c r="H20" i="81"/>
  <c r="H19" i="81"/>
  <c r="H16" i="81"/>
  <c r="I16" i="81" s="1"/>
  <c r="F16" i="81"/>
  <c r="H15" i="81"/>
  <c r="H14" i="81"/>
  <c r="H13" i="81"/>
  <c r="I13" i="81" s="1"/>
  <c r="F13" i="81"/>
  <c r="H7" i="81"/>
  <c r="F13" i="85" l="1"/>
  <c r="G28" i="86"/>
  <c r="F13" i="83"/>
  <c r="G28" i="84"/>
  <c r="I13" i="83"/>
  <c r="I13" i="85"/>
  <c r="N60" i="82"/>
  <c r="F27" i="81" s="1"/>
  <c r="I27" i="81" s="1"/>
  <c r="I57" i="88"/>
  <c r="M56" i="88"/>
  <c r="N56" i="88" s="1"/>
  <c r="I16" i="85"/>
  <c r="M57" i="88"/>
  <c r="N57" i="88" s="1"/>
  <c r="N37" i="82"/>
  <c r="M61" i="86"/>
  <c r="N61" i="86" s="1"/>
  <c r="N60" i="86" s="1"/>
  <c r="F27" i="85" s="1"/>
  <c r="I27" i="85" s="1"/>
  <c r="I57" i="86"/>
  <c r="M57" i="86" s="1"/>
  <c r="N57" i="86" s="1"/>
  <c r="M56" i="86"/>
  <c r="N56" i="86" s="1"/>
  <c r="I64" i="86"/>
  <c r="M64" i="86" s="1"/>
  <c r="N64" i="86" s="1"/>
  <c r="M63" i="86"/>
  <c r="N63" i="86" s="1"/>
  <c r="G28" i="88"/>
  <c r="F13" i="87"/>
  <c r="I13" i="87"/>
  <c r="M43" i="88"/>
  <c r="N43" i="88" s="1"/>
  <c r="M63" i="84"/>
  <c r="N63" i="84" s="1"/>
  <c r="N60" i="84" s="1"/>
  <c r="F27" i="83" s="1"/>
  <c r="I27" i="83" s="1"/>
  <c r="I64" i="84"/>
  <c r="M64" i="84" s="1"/>
  <c r="N64" i="84" s="1"/>
  <c r="M65" i="86"/>
  <c r="N65" i="86" s="1"/>
  <c r="M38" i="88"/>
  <c r="N38" i="88" s="1"/>
  <c r="N37" i="88" s="1"/>
  <c r="D61" i="88"/>
  <c r="M61" i="88" s="1"/>
  <c r="N61" i="88" s="1"/>
  <c r="D43" i="82"/>
  <c r="M43" i="82" s="1"/>
  <c r="N43" i="82" s="1"/>
  <c r="M55" i="88"/>
  <c r="N55" i="88" s="1"/>
  <c r="M39" i="82"/>
  <c r="N39" i="82" s="1"/>
  <c r="M56" i="82"/>
  <c r="N56" i="82" s="1"/>
  <c r="E80" i="82"/>
  <c r="E82" i="82"/>
  <c r="N82" i="82" s="1"/>
  <c r="F34" i="81" s="1"/>
  <c r="M38" i="86"/>
  <c r="N38" i="86" s="1"/>
  <c r="M55" i="86"/>
  <c r="N55" i="86" s="1"/>
  <c r="M62" i="88"/>
  <c r="N62" i="88" s="1"/>
  <c r="D71" i="86"/>
  <c r="N71" i="86" s="1"/>
  <c r="N70" i="86" s="1"/>
  <c r="F29" i="85" s="1"/>
  <c r="N37" i="84"/>
  <c r="M41" i="84" s="1"/>
  <c r="N41" i="84" s="1"/>
  <c r="F20" i="83" s="1"/>
  <c r="I20" i="83" s="1"/>
  <c r="N75" i="88"/>
  <c r="M57" i="84"/>
  <c r="N57" i="84" s="1"/>
  <c r="E80" i="86"/>
  <c r="D76" i="88"/>
  <c r="N76" i="88" s="1"/>
  <c r="N74" i="88" s="1"/>
  <c r="F31" i="87" s="1"/>
  <c r="D76" i="86"/>
  <c r="N76" i="86" s="1"/>
  <c r="N74" i="86" s="1"/>
  <c r="F31" i="85" s="1"/>
  <c r="E85" i="88"/>
  <c r="G85" i="88" s="1"/>
  <c r="N85" i="88" s="1"/>
  <c r="F36" i="87" s="1"/>
  <c r="I36" i="87" s="1"/>
  <c r="I35" i="87" s="1"/>
  <c r="E82" i="86"/>
  <c r="N82" i="86" s="1"/>
  <c r="F34" i="85" s="1"/>
  <c r="G34" i="84"/>
  <c r="N34" i="84" s="1"/>
  <c r="F17" i="83" s="1"/>
  <c r="N68" i="84"/>
  <c r="N67" i="84" s="1"/>
  <c r="F28" i="83" s="1"/>
  <c r="N76" i="84"/>
  <c r="I26" i="83"/>
  <c r="I26" i="81"/>
  <c r="I26" i="85"/>
  <c r="I26" i="87"/>
  <c r="E34" i="88"/>
  <c r="G34" i="88" s="1"/>
  <c r="N34" i="88" s="1"/>
  <c r="F17" i="87" s="1"/>
  <c r="E80" i="88"/>
  <c r="M47" i="88"/>
  <c r="N47" i="88" s="1"/>
  <c r="F23" i="87" s="1"/>
  <c r="I23" i="87" s="1"/>
  <c r="F21" i="87"/>
  <c r="I21" i="87" s="1"/>
  <c r="M45" i="88"/>
  <c r="N45" i="88" s="1"/>
  <c r="F22" i="87" s="1"/>
  <c r="I22" i="87" s="1"/>
  <c r="F12" i="87"/>
  <c r="M28" i="88"/>
  <c r="N28" i="88" s="1"/>
  <c r="N60" i="88"/>
  <c r="F27" i="87" s="1"/>
  <c r="I27" i="87" s="1"/>
  <c r="M63" i="88"/>
  <c r="N63" i="88" s="1"/>
  <c r="N74" i="82"/>
  <c r="F31" i="81" s="1"/>
  <c r="E34" i="86"/>
  <c r="G34" i="86" s="1"/>
  <c r="N34" i="86" s="1"/>
  <c r="F17" i="85" s="1"/>
  <c r="E85" i="86"/>
  <c r="G85" i="86" s="1"/>
  <c r="N85" i="86" s="1"/>
  <c r="F36" i="85" s="1"/>
  <c r="I36" i="85" s="1"/>
  <c r="I35" i="85" s="1"/>
  <c r="N75" i="86"/>
  <c r="F12" i="85"/>
  <c r="M28" i="86"/>
  <c r="N28" i="86" s="1"/>
  <c r="N37" i="86"/>
  <c r="F21" i="85"/>
  <c r="I21" i="85" s="1"/>
  <c r="M47" i="86"/>
  <c r="N47" i="86" s="1"/>
  <c r="F23" i="85" s="1"/>
  <c r="I23" i="85" s="1"/>
  <c r="M45" i="86"/>
  <c r="N45" i="86" s="1"/>
  <c r="F22" i="85" s="1"/>
  <c r="I22" i="85" s="1"/>
  <c r="E85" i="84"/>
  <c r="G85" i="84" s="1"/>
  <c r="N85" i="84" s="1"/>
  <c r="F36" i="83" s="1"/>
  <c r="I36" i="83" s="1"/>
  <c r="I35" i="83" s="1"/>
  <c r="N75" i="84"/>
  <c r="E80" i="84"/>
  <c r="M45" i="84"/>
  <c r="N45" i="84" s="1"/>
  <c r="F22" i="83" s="1"/>
  <c r="I22" i="83" s="1"/>
  <c r="F21" i="83"/>
  <c r="I21" i="83" s="1"/>
  <c r="M47" i="84"/>
  <c r="N47" i="84" s="1"/>
  <c r="F23" i="83" s="1"/>
  <c r="I23" i="83" s="1"/>
  <c r="F12" i="83"/>
  <c r="M28" i="84"/>
  <c r="N28" i="84" s="1"/>
  <c r="F12" i="81"/>
  <c r="M28" i="82"/>
  <c r="N28" i="82" s="1"/>
  <c r="F14" i="81" s="1"/>
  <c r="I14" i="81" s="1"/>
  <c r="G85" i="82"/>
  <c r="N85" i="82" s="1"/>
  <c r="F36" i="81" s="1"/>
  <c r="I36" i="81" s="1"/>
  <c r="I35" i="81" s="1"/>
  <c r="E34" i="82"/>
  <c r="G34" i="82" s="1"/>
  <c r="N34" i="82" s="1"/>
  <c r="F17" i="81" s="1"/>
  <c r="F19" i="87" l="1"/>
  <c r="I19" i="87" s="1"/>
  <c r="M41" i="88"/>
  <c r="N41" i="88" s="1"/>
  <c r="F20" i="87" s="1"/>
  <c r="I20" i="87" s="1"/>
  <c r="M47" i="82"/>
  <c r="N47" i="82" s="1"/>
  <c r="F23" i="81" s="1"/>
  <c r="I23" i="81" s="1"/>
  <c r="F21" i="81"/>
  <c r="I21" i="81" s="1"/>
  <c r="M45" i="82"/>
  <c r="N45" i="82" s="1"/>
  <c r="F22" i="81" s="1"/>
  <c r="I22" i="81" s="1"/>
  <c r="M41" i="82"/>
  <c r="N41" i="82" s="1"/>
  <c r="F20" i="81" s="1"/>
  <c r="I20" i="81" s="1"/>
  <c r="F19" i="81"/>
  <c r="I19" i="81" s="1"/>
  <c r="F19" i="83"/>
  <c r="I19" i="83" s="1"/>
  <c r="I18" i="83" s="1"/>
  <c r="M30" i="82"/>
  <c r="N30" i="82" s="1"/>
  <c r="F15" i="81" s="1"/>
  <c r="I15" i="81" s="1"/>
  <c r="N74" i="84"/>
  <c r="F31" i="83" s="1"/>
  <c r="F14" i="87"/>
  <c r="I14" i="87" s="1"/>
  <c r="M30" i="88"/>
  <c r="N30" i="88" s="1"/>
  <c r="F15" i="87" s="1"/>
  <c r="I15" i="87" s="1"/>
  <c r="F19" i="85"/>
  <c r="I19" i="85" s="1"/>
  <c r="M41" i="86"/>
  <c r="N41" i="86" s="1"/>
  <c r="F20" i="85" s="1"/>
  <c r="I20" i="85" s="1"/>
  <c r="M30" i="86"/>
  <c r="N30" i="86" s="1"/>
  <c r="F15" i="85" s="1"/>
  <c r="I15" i="85" s="1"/>
  <c r="F14" i="85"/>
  <c r="I14" i="85" s="1"/>
  <c r="M30" i="84"/>
  <c r="N30" i="84" s="1"/>
  <c r="F15" i="83" s="1"/>
  <c r="I15" i="83" s="1"/>
  <c r="F14" i="83"/>
  <c r="I14" i="83" s="1"/>
  <c r="J5" i="39"/>
  <c r="N20" i="80"/>
  <c r="F9" i="79"/>
  <c r="G18" i="80"/>
  <c r="N18" i="80" s="1"/>
  <c r="F8" i="79" s="1"/>
  <c r="P16" i="80"/>
  <c r="G16" i="80"/>
  <c r="N16" i="80" s="1"/>
  <c r="F7" i="79" s="1"/>
  <c r="I7" i="79" s="1"/>
  <c r="Q15" i="80"/>
  <c r="Q14" i="80"/>
  <c r="N14" i="80"/>
  <c r="F6" i="79" s="1"/>
  <c r="Q13" i="80"/>
  <c r="Q12" i="80"/>
  <c r="Q11" i="80"/>
  <c r="U10" i="80"/>
  <c r="Q10" i="80"/>
  <c r="Q9" i="80"/>
  <c r="U8" i="80"/>
  <c r="Q8" i="80"/>
  <c r="U7" i="80"/>
  <c r="Q7" i="80"/>
  <c r="Q6" i="80"/>
  <c r="H7" i="79"/>
  <c r="E75" i="78"/>
  <c r="E82" i="78" s="1"/>
  <c r="N82" i="78" s="1"/>
  <c r="F34" i="77" s="1"/>
  <c r="E65" i="78"/>
  <c r="E76" i="78"/>
  <c r="F85" i="78"/>
  <c r="F33" i="77"/>
  <c r="N78" i="78"/>
  <c r="F32" i="77" s="1"/>
  <c r="J7" i="78"/>
  <c r="D76" i="78" s="1"/>
  <c r="N76" i="78" s="1"/>
  <c r="M7" i="78"/>
  <c r="D68" i="78"/>
  <c r="N68" i="78" s="1"/>
  <c r="N67" i="78" s="1"/>
  <c r="F28" i="77" s="1"/>
  <c r="E68" i="78"/>
  <c r="G61" i="78"/>
  <c r="M61" i="78" s="1"/>
  <c r="N61" i="78" s="1"/>
  <c r="D38" i="78"/>
  <c r="D61" i="78"/>
  <c r="I62" i="78"/>
  <c r="I63" i="78" s="1"/>
  <c r="I64" i="78" s="1"/>
  <c r="M62" i="78"/>
  <c r="N62" i="78"/>
  <c r="D63" i="78"/>
  <c r="D64" i="78" s="1"/>
  <c r="M63" i="78"/>
  <c r="N63" i="78" s="1"/>
  <c r="F39" i="78"/>
  <c r="F65" i="78" s="1"/>
  <c r="I65" i="78"/>
  <c r="M54" i="78"/>
  <c r="N54" i="78" s="1"/>
  <c r="N53" i="78" s="1"/>
  <c r="F26" i="77"/>
  <c r="I26" i="77" s="1"/>
  <c r="D51" i="78"/>
  <c r="N51" i="78" s="1"/>
  <c r="N50" i="78" s="1"/>
  <c r="F25" i="77" s="1"/>
  <c r="E51" i="78"/>
  <c r="I38" i="78"/>
  <c r="I43" i="78" s="1"/>
  <c r="M43" i="78" s="1"/>
  <c r="N43" i="78" s="1"/>
  <c r="F21" i="77" s="1"/>
  <c r="D43" i="78"/>
  <c r="H21" i="77"/>
  <c r="M38" i="78"/>
  <c r="N38" i="78" s="1"/>
  <c r="E39" i="78"/>
  <c r="M39" i="78" s="1"/>
  <c r="N39" i="78" s="1"/>
  <c r="E24" i="78"/>
  <c r="E34" i="78"/>
  <c r="F24" i="78"/>
  <c r="G24" i="78" s="1"/>
  <c r="M24" i="78" s="1"/>
  <c r="N24" i="78" s="1"/>
  <c r="F34" i="78"/>
  <c r="N32" i="78"/>
  <c r="F16" i="77" s="1"/>
  <c r="I16" i="77" s="1"/>
  <c r="D26" i="78"/>
  <c r="N26" i="78"/>
  <c r="G28" i="78" s="1"/>
  <c r="H14" i="77"/>
  <c r="F13" i="77"/>
  <c r="R51" i="78"/>
  <c r="H37" i="77"/>
  <c r="I37" i="77" s="1"/>
  <c r="H36" i="77"/>
  <c r="H27" i="77"/>
  <c r="H26" i="77"/>
  <c r="H23" i="77"/>
  <c r="H22" i="77"/>
  <c r="H20" i="77"/>
  <c r="H19" i="77"/>
  <c r="H16" i="77"/>
  <c r="H15" i="77"/>
  <c r="H13" i="77"/>
  <c r="I13" i="77" s="1"/>
  <c r="N20" i="76"/>
  <c r="F9" i="77"/>
  <c r="G18" i="76"/>
  <c r="N18" i="76" s="1"/>
  <c r="H7" i="77"/>
  <c r="G16" i="76"/>
  <c r="N16" i="76"/>
  <c r="F7" i="77" s="1"/>
  <c r="N14" i="76"/>
  <c r="F6" i="77" s="1"/>
  <c r="E75" i="76"/>
  <c r="E85" i="76" s="1"/>
  <c r="G85" i="76" s="1"/>
  <c r="N85" i="76" s="1"/>
  <c r="F36" i="75" s="1"/>
  <c r="I36" i="75" s="1"/>
  <c r="I35" i="75" s="1"/>
  <c r="E65" i="76"/>
  <c r="E76" i="76" s="1"/>
  <c r="F85" i="76" s="1"/>
  <c r="E82" i="76"/>
  <c r="N82" i="76"/>
  <c r="F34" i="75"/>
  <c r="E80" i="76"/>
  <c r="F33" i="75"/>
  <c r="N78" i="76"/>
  <c r="F32" i="75"/>
  <c r="N75" i="76"/>
  <c r="J7" i="76"/>
  <c r="M7" i="76" s="1"/>
  <c r="D68" i="76" s="1"/>
  <c r="N68" i="76" s="1"/>
  <c r="N67" i="76" s="1"/>
  <c r="F28" i="75" s="1"/>
  <c r="D76" i="76"/>
  <c r="E68" i="76"/>
  <c r="G61" i="76"/>
  <c r="D38" i="76"/>
  <c r="M38" i="76" s="1"/>
  <c r="N38" i="76" s="1"/>
  <c r="D61" i="76"/>
  <c r="M61" i="76"/>
  <c r="N61" i="76" s="1"/>
  <c r="I62" i="76"/>
  <c r="M62" i="76" s="1"/>
  <c r="N62" i="76" s="1"/>
  <c r="D63" i="76"/>
  <c r="D64" i="76" s="1"/>
  <c r="F39" i="76"/>
  <c r="F65" i="76"/>
  <c r="I65" i="76"/>
  <c r="M65" i="76"/>
  <c r="N65" i="76" s="1"/>
  <c r="M54" i="76"/>
  <c r="N54" i="76" s="1"/>
  <c r="N53" i="76" s="1"/>
  <c r="F26" i="75" s="1"/>
  <c r="D51" i="76"/>
  <c r="N51" i="76" s="1"/>
  <c r="N50" i="76" s="1"/>
  <c r="F25" i="75" s="1"/>
  <c r="E51" i="76"/>
  <c r="I38" i="76"/>
  <c r="I43" i="76"/>
  <c r="D43" i="76"/>
  <c r="M43" i="76"/>
  <c r="N43" i="76" s="1"/>
  <c r="E39" i="76"/>
  <c r="M39" i="76" s="1"/>
  <c r="N39" i="76" s="1"/>
  <c r="E24" i="76"/>
  <c r="E34" i="76" s="1"/>
  <c r="G34" i="76" s="1"/>
  <c r="N34" i="76" s="1"/>
  <c r="F17" i="75" s="1"/>
  <c r="F24" i="76"/>
  <c r="F34" i="76"/>
  <c r="N32" i="76"/>
  <c r="F16" i="75"/>
  <c r="D26" i="76"/>
  <c r="N26" i="76" s="1"/>
  <c r="G24" i="76"/>
  <c r="M24" i="76"/>
  <c r="N24" i="76" s="1"/>
  <c r="R51" i="76"/>
  <c r="H37" i="75"/>
  <c r="I37" i="75" s="1"/>
  <c r="H36" i="75"/>
  <c r="H27" i="75"/>
  <c r="H26" i="75"/>
  <c r="H23" i="75"/>
  <c r="H22" i="75"/>
  <c r="H21" i="75"/>
  <c r="H20" i="75"/>
  <c r="H19" i="75"/>
  <c r="H16" i="75"/>
  <c r="I16" i="75"/>
  <c r="H15" i="75"/>
  <c r="H14" i="75"/>
  <c r="H13" i="75"/>
  <c r="E75" i="74"/>
  <c r="N75" i="74" s="1"/>
  <c r="E65" i="74"/>
  <c r="E76" i="74" s="1"/>
  <c r="F85" i="74" s="1"/>
  <c r="F33" i="73"/>
  <c r="N78" i="74"/>
  <c r="F32" i="73"/>
  <c r="J7" i="74"/>
  <c r="D76" i="74" s="1"/>
  <c r="N76" i="74" s="1"/>
  <c r="M7" i="74"/>
  <c r="D68" i="74" s="1"/>
  <c r="N68" i="74" s="1"/>
  <c r="N67" i="74" s="1"/>
  <c r="F28" i="73" s="1"/>
  <c r="E68" i="74"/>
  <c r="G61" i="74"/>
  <c r="D38" i="74"/>
  <c r="D61" i="74"/>
  <c r="M61" i="74"/>
  <c r="N61" i="74"/>
  <c r="I62" i="74"/>
  <c r="M62" i="74"/>
  <c r="N62" i="74" s="1"/>
  <c r="I63" i="74"/>
  <c r="D63" i="74"/>
  <c r="M63" i="74"/>
  <c r="N63" i="74" s="1"/>
  <c r="I64" i="74"/>
  <c r="M64" i="74" s="1"/>
  <c r="N64" i="74" s="1"/>
  <c r="D64" i="74"/>
  <c r="F39" i="74"/>
  <c r="F65" i="74"/>
  <c r="I65" i="74"/>
  <c r="M65" i="74"/>
  <c r="N65" i="74" s="1"/>
  <c r="H27" i="73"/>
  <c r="M54" i="74"/>
  <c r="N54" i="74" s="1"/>
  <c r="N53" i="74" s="1"/>
  <c r="F26" i="73" s="1"/>
  <c r="D51" i="74"/>
  <c r="N51" i="74" s="1"/>
  <c r="N50" i="74" s="1"/>
  <c r="F25" i="73" s="1"/>
  <c r="E51" i="74"/>
  <c r="I38" i="74"/>
  <c r="M38" i="74" s="1"/>
  <c r="N38" i="74" s="1"/>
  <c r="N37" i="74" s="1"/>
  <c r="I43" i="74"/>
  <c r="M43" i="74" s="1"/>
  <c r="N43" i="74" s="1"/>
  <c r="D43" i="74"/>
  <c r="E39" i="74"/>
  <c r="M39" i="74" s="1"/>
  <c r="N39" i="74" s="1"/>
  <c r="E24" i="74"/>
  <c r="E34" i="74" s="1"/>
  <c r="G34" i="74" s="1"/>
  <c r="N34" i="74" s="1"/>
  <c r="F17" i="73" s="1"/>
  <c r="F24" i="74"/>
  <c r="F34" i="74"/>
  <c r="N32" i="74"/>
  <c r="F16" i="73"/>
  <c r="D26" i="74"/>
  <c r="N26" i="74"/>
  <c r="F13" i="73" s="1"/>
  <c r="I13" i="73" s="1"/>
  <c r="G28" i="74"/>
  <c r="G24" i="74"/>
  <c r="M24" i="74" s="1"/>
  <c r="N24" i="74" s="1"/>
  <c r="R51" i="74"/>
  <c r="H37" i="73"/>
  <c r="I37" i="73" s="1"/>
  <c r="H36" i="73"/>
  <c r="H26" i="73"/>
  <c r="I26" i="73" s="1"/>
  <c r="H23" i="73"/>
  <c r="H22" i="73"/>
  <c r="H21" i="73"/>
  <c r="H20" i="73"/>
  <c r="H19" i="73"/>
  <c r="H16" i="73"/>
  <c r="H15" i="73"/>
  <c r="H14" i="73"/>
  <c r="H13" i="73"/>
  <c r="E75" i="72"/>
  <c r="E85" i="72"/>
  <c r="E65" i="72"/>
  <c r="E76" i="72"/>
  <c r="F85" i="72" s="1"/>
  <c r="F33" i="71"/>
  <c r="N78" i="72"/>
  <c r="F32" i="71" s="1"/>
  <c r="J7" i="72"/>
  <c r="D76" i="72" s="1"/>
  <c r="N76" i="72" s="1"/>
  <c r="E68" i="72"/>
  <c r="G61" i="72"/>
  <c r="D38" i="72"/>
  <c r="D61" i="72"/>
  <c r="M61" i="72" s="1"/>
  <c r="N61" i="72" s="1"/>
  <c r="I62" i="72"/>
  <c r="M62" i="72"/>
  <c r="N62" i="72"/>
  <c r="I63" i="72"/>
  <c r="D63" i="72"/>
  <c r="D64" i="72"/>
  <c r="F39" i="72"/>
  <c r="F65" i="72" s="1"/>
  <c r="M65" i="72" s="1"/>
  <c r="N65" i="72" s="1"/>
  <c r="I65" i="72"/>
  <c r="M54" i="72"/>
  <c r="N54" i="72"/>
  <c r="N53" i="72" s="1"/>
  <c r="F26" i="71" s="1"/>
  <c r="D51" i="72"/>
  <c r="N51" i="72" s="1"/>
  <c r="N50" i="72" s="1"/>
  <c r="F25" i="71" s="1"/>
  <c r="E51" i="72"/>
  <c r="I38" i="72"/>
  <c r="I43" i="72" s="1"/>
  <c r="M43" i="72" s="1"/>
  <c r="N43" i="72" s="1"/>
  <c r="D43" i="72"/>
  <c r="M45" i="72"/>
  <c r="N45" i="72" s="1"/>
  <c r="F22" i="71" s="1"/>
  <c r="H22" i="71"/>
  <c r="H21" i="71"/>
  <c r="M38" i="72"/>
  <c r="N38" i="72" s="1"/>
  <c r="N37" i="72" s="1"/>
  <c r="E39" i="72"/>
  <c r="M39" i="72" s="1"/>
  <c r="N39" i="72" s="1"/>
  <c r="E24" i="72"/>
  <c r="E34" i="72"/>
  <c r="G34" i="72" s="1"/>
  <c r="N34" i="72" s="1"/>
  <c r="F17" i="71" s="1"/>
  <c r="F24" i="72"/>
  <c r="F34" i="72"/>
  <c r="N32" i="72"/>
  <c r="F16" i="71" s="1"/>
  <c r="I16" i="71" s="1"/>
  <c r="D26" i="72"/>
  <c r="N26" i="72" s="1"/>
  <c r="G24" i="72"/>
  <c r="M24" i="72"/>
  <c r="N24" i="72"/>
  <c r="H15" i="71"/>
  <c r="H14" i="71"/>
  <c r="H13" i="71"/>
  <c r="R51" i="72"/>
  <c r="H37" i="71"/>
  <c r="I37" i="71" s="1"/>
  <c r="H36" i="71"/>
  <c r="H27" i="71"/>
  <c r="H26" i="71"/>
  <c r="H23" i="71"/>
  <c r="H20" i="71"/>
  <c r="H19" i="71"/>
  <c r="H16" i="71"/>
  <c r="Q12" i="72"/>
  <c r="E75" i="70"/>
  <c r="E82" i="70" s="1"/>
  <c r="N82" i="70" s="1"/>
  <c r="F34" i="69" s="1"/>
  <c r="E85" i="70"/>
  <c r="E65" i="70"/>
  <c r="F33" i="69"/>
  <c r="N78" i="70"/>
  <c r="F32" i="69" s="1"/>
  <c r="J7" i="70"/>
  <c r="M7" i="70" s="1"/>
  <c r="D68" i="70" s="1"/>
  <c r="N68" i="70" s="1"/>
  <c r="N67" i="70" s="1"/>
  <c r="F28" i="69" s="1"/>
  <c r="D76" i="70"/>
  <c r="E68" i="70"/>
  <c r="G61" i="70"/>
  <c r="D38" i="70"/>
  <c r="D61" i="70"/>
  <c r="M61" i="70" s="1"/>
  <c r="N61" i="70" s="1"/>
  <c r="I62" i="70"/>
  <c r="M62" i="70" s="1"/>
  <c r="N62" i="70" s="1"/>
  <c r="I63" i="70"/>
  <c r="D63" i="70"/>
  <c r="D64" i="70" s="1"/>
  <c r="F39" i="70"/>
  <c r="F65" i="70"/>
  <c r="I65" i="70"/>
  <c r="M54" i="70"/>
  <c r="N54" i="70"/>
  <c r="N53" i="70" s="1"/>
  <c r="F26" i="69" s="1"/>
  <c r="D51" i="70"/>
  <c r="N51" i="70" s="1"/>
  <c r="N50" i="70" s="1"/>
  <c r="F25" i="69" s="1"/>
  <c r="E51" i="70"/>
  <c r="I38" i="70"/>
  <c r="I43" i="70" s="1"/>
  <c r="M43" i="70" s="1"/>
  <c r="N43" i="70" s="1"/>
  <c r="M45" i="70" s="1"/>
  <c r="N45" i="70" s="1"/>
  <c r="F22" i="69" s="1"/>
  <c r="I22" i="69" s="1"/>
  <c r="D43" i="70"/>
  <c r="M38" i="70"/>
  <c r="N38" i="70" s="1"/>
  <c r="E39" i="70"/>
  <c r="M39" i="70" s="1"/>
  <c r="N39" i="70" s="1"/>
  <c r="E24" i="70"/>
  <c r="E34" i="70"/>
  <c r="F24" i="70"/>
  <c r="G24" i="70" s="1"/>
  <c r="M24" i="70" s="1"/>
  <c r="N24" i="70" s="1"/>
  <c r="N32" i="70"/>
  <c r="F16" i="69"/>
  <c r="D26" i="70"/>
  <c r="N26" i="70"/>
  <c r="F13" i="69" s="1"/>
  <c r="I13" i="69" s="1"/>
  <c r="R51" i="70"/>
  <c r="H37" i="69"/>
  <c r="I37" i="69" s="1"/>
  <c r="H36" i="69"/>
  <c r="H27" i="69"/>
  <c r="H26" i="69"/>
  <c r="H23" i="69"/>
  <c r="H22" i="69"/>
  <c r="H21" i="69"/>
  <c r="H20" i="69"/>
  <c r="H19" i="69"/>
  <c r="H16" i="69"/>
  <c r="H15" i="69"/>
  <c r="H14" i="69"/>
  <c r="H13" i="69"/>
  <c r="E75" i="68"/>
  <c r="E85" i="68" s="1"/>
  <c r="E65" i="68"/>
  <c r="E76" i="68" s="1"/>
  <c r="H36" i="67"/>
  <c r="E82" i="68"/>
  <c r="N82" i="68" s="1"/>
  <c r="F34" i="67" s="1"/>
  <c r="F33" i="67"/>
  <c r="N78" i="68"/>
  <c r="F32" i="67"/>
  <c r="N75" i="68"/>
  <c r="J7" i="68"/>
  <c r="D76" i="68"/>
  <c r="M7" i="68"/>
  <c r="D68" i="68" s="1"/>
  <c r="N68" i="68" s="1"/>
  <c r="E68" i="68"/>
  <c r="N67" i="68"/>
  <c r="F28" i="67" s="1"/>
  <c r="G61" i="68"/>
  <c r="D38" i="68"/>
  <c r="D61" i="68"/>
  <c r="M61" i="68"/>
  <c r="N61" i="68" s="1"/>
  <c r="I62" i="68"/>
  <c r="M62" i="68"/>
  <c r="N62" i="68" s="1"/>
  <c r="I63" i="68"/>
  <c r="M63" i="68" s="1"/>
  <c r="N63" i="68" s="1"/>
  <c r="D63" i="68"/>
  <c r="I64" i="68"/>
  <c r="D64" i="68"/>
  <c r="M64" i="68"/>
  <c r="N64" i="68" s="1"/>
  <c r="F39" i="68"/>
  <c r="F65" i="68" s="1"/>
  <c r="M65" i="68" s="1"/>
  <c r="N65" i="68" s="1"/>
  <c r="I65" i="68"/>
  <c r="M54" i="68"/>
  <c r="N54" i="68" s="1"/>
  <c r="N53" i="68" s="1"/>
  <c r="F26" i="67" s="1"/>
  <c r="D51" i="68"/>
  <c r="E51" i="68"/>
  <c r="N51" i="68"/>
  <c r="N50" i="68"/>
  <c r="F25" i="67" s="1"/>
  <c r="I38" i="68"/>
  <c r="I43" i="68" s="1"/>
  <c r="M43" i="68" s="1"/>
  <c r="N43" i="68" s="1"/>
  <c r="D43" i="68"/>
  <c r="M38" i="68"/>
  <c r="N38" i="68"/>
  <c r="E39" i="68"/>
  <c r="M39" i="68" s="1"/>
  <c r="N39" i="68" s="1"/>
  <c r="H20" i="67"/>
  <c r="E24" i="68"/>
  <c r="E34" i="68"/>
  <c r="F24" i="68"/>
  <c r="F34" i="68" s="1"/>
  <c r="N32" i="68"/>
  <c r="F16" i="67" s="1"/>
  <c r="D26" i="68"/>
  <c r="N26" i="68"/>
  <c r="G28" i="68" s="1"/>
  <c r="G24" i="68"/>
  <c r="M24" i="68" s="1"/>
  <c r="N24" i="68" s="1"/>
  <c r="M28" i="68" s="1"/>
  <c r="F13" i="67"/>
  <c r="F12" i="67"/>
  <c r="R51" i="68"/>
  <c r="H37" i="67"/>
  <c r="I37" i="67" s="1"/>
  <c r="H27" i="67"/>
  <c r="H26" i="67"/>
  <c r="H23" i="67"/>
  <c r="H22" i="67"/>
  <c r="H21" i="67"/>
  <c r="H19" i="67"/>
  <c r="H16" i="67"/>
  <c r="H15" i="67"/>
  <c r="H14" i="67"/>
  <c r="H13" i="67"/>
  <c r="I13" i="67" s="1"/>
  <c r="E75" i="66"/>
  <c r="E85" i="66"/>
  <c r="G85" i="66" s="1"/>
  <c r="N85" i="66" s="1"/>
  <c r="F36" i="65" s="1"/>
  <c r="E65" i="66"/>
  <c r="E76" i="66" s="1"/>
  <c r="F85" i="66" s="1"/>
  <c r="H36" i="65"/>
  <c r="F33" i="65"/>
  <c r="N78" i="66"/>
  <c r="F32" i="65"/>
  <c r="N75" i="66"/>
  <c r="N74" i="66" s="1"/>
  <c r="F31" i="65" s="1"/>
  <c r="J7" i="66"/>
  <c r="D76" i="66" s="1"/>
  <c r="N76" i="66" s="1"/>
  <c r="E68" i="66"/>
  <c r="G61" i="66"/>
  <c r="D38" i="66"/>
  <c r="D61" i="66" s="1"/>
  <c r="M61" i="66" s="1"/>
  <c r="N61" i="66" s="1"/>
  <c r="I62" i="66"/>
  <c r="I63" i="66" s="1"/>
  <c r="M62" i="66"/>
  <c r="N62" i="66" s="1"/>
  <c r="D63" i="66"/>
  <c r="D64" i="66" s="1"/>
  <c r="F39" i="66"/>
  <c r="F65" i="66"/>
  <c r="M65" i="66" s="1"/>
  <c r="N65" i="66" s="1"/>
  <c r="I65" i="66"/>
  <c r="M54" i="66"/>
  <c r="N54" i="66" s="1"/>
  <c r="N53" i="66" s="1"/>
  <c r="F26" i="65" s="1"/>
  <c r="H26" i="65"/>
  <c r="D51" i="66"/>
  <c r="E51" i="66"/>
  <c r="N51" i="66"/>
  <c r="N50" i="66" s="1"/>
  <c r="F25" i="65" s="1"/>
  <c r="I38" i="66"/>
  <c r="I43" i="66" s="1"/>
  <c r="M43" i="66" s="1"/>
  <c r="N43" i="66" s="1"/>
  <c r="D43" i="66"/>
  <c r="M38" i="66"/>
  <c r="N38" i="66" s="1"/>
  <c r="N37" i="66" s="1"/>
  <c r="M41" i="66" s="1"/>
  <c r="N41" i="66" s="1"/>
  <c r="E39" i="66"/>
  <c r="M39" i="66" s="1"/>
  <c r="N39" i="66" s="1"/>
  <c r="F20" i="65"/>
  <c r="E24" i="66"/>
  <c r="G24" i="66" s="1"/>
  <c r="M24" i="66" s="1"/>
  <c r="E34" i="66"/>
  <c r="G34" i="66" s="1"/>
  <c r="N34" i="66" s="1"/>
  <c r="F17" i="65" s="1"/>
  <c r="F24" i="66"/>
  <c r="F34" i="66"/>
  <c r="N32" i="66"/>
  <c r="F16" i="65" s="1"/>
  <c r="I16" i="65" s="1"/>
  <c r="D26" i="66"/>
  <c r="N26" i="66"/>
  <c r="F13" i="65" s="1"/>
  <c r="I13" i="65" s="1"/>
  <c r="N24" i="66"/>
  <c r="F12" i="65" s="1"/>
  <c r="R51" i="66"/>
  <c r="H37" i="65"/>
  <c r="I37" i="65" s="1"/>
  <c r="H27" i="65"/>
  <c r="H23" i="65"/>
  <c r="H22" i="65"/>
  <c r="H21" i="65"/>
  <c r="H20" i="65"/>
  <c r="H19" i="65"/>
  <c r="H16" i="65"/>
  <c r="H15" i="65"/>
  <c r="H14" i="65"/>
  <c r="H13" i="65"/>
  <c r="E75" i="64"/>
  <c r="E85" i="64"/>
  <c r="E65" i="64"/>
  <c r="E76" i="64"/>
  <c r="E80" i="64" s="1"/>
  <c r="E82" i="64"/>
  <c r="N82" i="64"/>
  <c r="F34" i="63" s="1"/>
  <c r="F33" i="63"/>
  <c r="N78" i="64"/>
  <c r="F32" i="63"/>
  <c r="G61" i="64"/>
  <c r="M61" i="64" s="1"/>
  <c r="N61" i="64" s="1"/>
  <c r="D38" i="64"/>
  <c r="D61" i="64"/>
  <c r="I62" i="64"/>
  <c r="M62" i="64"/>
  <c r="N62" i="64" s="1"/>
  <c r="I63" i="64"/>
  <c r="I64" i="64" s="1"/>
  <c r="D63" i="64"/>
  <c r="D64" i="64" s="1"/>
  <c r="M63" i="64"/>
  <c r="N63" i="64" s="1"/>
  <c r="F39" i="64"/>
  <c r="F65" i="64" s="1"/>
  <c r="M65" i="64" s="1"/>
  <c r="N65" i="64" s="1"/>
  <c r="I65" i="64"/>
  <c r="M54" i="64"/>
  <c r="N54" i="64" s="1"/>
  <c r="N53" i="64" s="1"/>
  <c r="F26" i="63" s="1"/>
  <c r="D51" i="64"/>
  <c r="N51" i="64" s="1"/>
  <c r="N50" i="64" s="1"/>
  <c r="F25" i="63" s="1"/>
  <c r="E51" i="64"/>
  <c r="I38" i="64"/>
  <c r="M38" i="64" s="1"/>
  <c r="N38" i="64" s="1"/>
  <c r="N37" i="64" s="1"/>
  <c r="D43" i="64"/>
  <c r="E39" i="64"/>
  <c r="M39" i="64" s="1"/>
  <c r="N39" i="64" s="1"/>
  <c r="H19" i="63"/>
  <c r="E24" i="64"/>
  <c r="E34" i="64"/>
  <c r="F24" i="64"/>
  <c r="G24" i="64" s="1"/>
  <c r="M24" i="64" s="1"/>
  <c r="N24" i="64" s="1"/>
  <c r="N32" i="64"/>
  <c r="F16" i="63" s="1"/>
  <c r="D26" i="64"/>
  <c r="N26" i="64"/>
  <c r="G28" i="64" s="1"/>
  <c r="H14" i="63"/>
  <c r="F13" i="63"/>
  <c r="N75" i="64"/>
  <c r="R51" i="64"/>
  <c r="H37" i="63"/>
  <c r="I37" i="63" s="1"/>
  <c r="H36" i="63"/>
  <c r="H27" i="63"/>
  <c r="H26" i="63"/>
  <c r="H23" i="63"/>
  <c r="H22" i="63"/>
  <c r="H21" i="63"/>
  <c r="H20" i="63"/>
  <c r="H16" i="63"/>
  <c r="H15" i="63"/>
  <c r="H13" i="63"/>
  <c r="I13" i="63" s="1"/>
  <c r="E75" i="62"/>
  <c r="E80" i="62" s="1"/>
  <c r="E65" i="62"/>
  <c r="E76" i="62" s="1"/>
  <c r="E82" i="62"/>
  <c r="N82" i="62" s="1"/>
  <c r="F34" i="61" s="1"/>
  <c r="F33" i="61"/>
  <c r="N78" i="62"/>
  <c r="F32" i="61"/>
  <c r="G61" i="62"/>
  <c r="M61" i="62" s="1"/>
  <c r="N61" i="62" s="1"/>
  <c r="D38" i="62"/>
  <c r="D61" i="62"/>
  <c r="I62" i="62"/>
  <c r="M62" i="62"/>
  <c r="N62" i="62"/>
  <c r="I63" i="62"/>
  <c r="D63" i="62"/>
  <c r="D64" i="62" s="1"/>
  <c r="F39" i="62"/>
  <c r="F65" i="62" s="1"/>
  <c r="M65" i="62" s="1"/>
  <c r="N65" i="62" s="1"/>
  <c r="I65" i="62"/>
  <c r="M54" i="62"/>
  <c r="N54" i="62"/>
  <c r="N53" i="62" s="1"/>
  <c r="F26" i="61" s="1"/>
  <c r="D51" i="62"/>
  <c r="E51" i="62"/>
  <c r="N51" i="62" s="1"/>
  <c r="N50" i="62" s="1"/>
  <c r="F25" i="61" s="1"/>
  <c r="R51" i="62"/>
  <c r="H37" i="61"/>
  <c r="I37" i="61" s="1"/>
  <c r="H36" i="61"/>
  <c r="H27" i="61"/>
  <c r="H26" i="61"/>
  <c r="H23" i="61"/>
  <c r="H22" i="61"/>
  <c r="H21" i="61"/>
  <c r="H20" i="61"/>
  <c r="H19" i="61"/>
  <c r="H16" i="61"/>
  <c r="H15" i="61"/>
  <c r="H14" i="61"/>
  <c r="H13" i="61"/>
  <c r="H7" i="61"/>
  <c r="I7" i="61" s="1"/>
  <c r="N86" i="39"/>
  <c r="H31" i="40"/>
  <c r="D51" i="39"/>
  <c r="E51" i="39"/>
  <c r="N51" i="39"/>
  <c r="N50" i="39"/>
  <c r="R51" i="39"/>
  <c r="I16" i="73"/>
  <c r="I16" i="69"/>
  <c r="I16" i="67"/>
  <c r="E49" i="36"/>
  <c r="D71" i="78"/>
  <c r="N71" i="78"/>
  <c r="N70" i="78" s="1"/>
  <c r="F29" i="77" s="1"/>
  <c r="R71" i="78"/>
  <c r="R68" i="78"/>
  <c r="R65" i="78"/>
  <c r="R64" i="78"/>
  <c r="R63" i="78"/>
  <c r="R61" i="78"/>
  <c r="R58" i="78"/>
  <c r="E58" i="78"/>
  <c r="M58" i="78" s="1"/>
  <c r="N58" i="78" s="1"/>
  <c r="F58" i="78"/>
  <c r="I58" i="78"/>
  <c r="R57" i="78"/>
  <c r="I55" i="78"/>
  <c r="I56" i="78"/>
  <c r="M56" i="78" s="1"/>
  <c r="N56" i="78" s="1"/>
  <c r="I57" i="78"/>
  <c r="D56" i="78"/>
  <c r="D57" i="78"/>
  <c r="R56" i="78"/>
  <c r="M55" i="78"/>
  <c r="N55" i="78" s="1"/>
  <c r="R54" i="78"/>
  <c r="N20" i="78"/>
  <c r="G18" i="78"/>
  <c r="N18" i="78" s="1"/>
  <c r="P16" i="78"/>
  <c r="G16" i="78"/>
  <c r="N16" i="78"/>
  <c r="Q15" i="78"/>
  <c r="Q14" i="78"/>
  <c r="N14" i="78"/>
  <c r="Q13" i="78"/>
  <c r="Q12" i="78"/>
  <c r="Q11" i="78"/>
  <c r="U10" i="78"/>
  <c r="Q10" i="78"/>
  <c r="Q9" i="78"/>
  <c r="U8" i="78"/>
  <c r="Q8" i="78"/>
  <c r="U7" i="78"/>
  <c r="Q7" i="78"/>
  <c r="Q6" i="78"/>
  <c r="R71" i="76"/>
  <c r="R68" i="76"/>
  <c r="R65" i="76"/>
  <c r="R64" i="76"/>
  <c r="R63" i="76"/>
  <c r="R61" i="76"/>
  <c r="R58" i="76"/>
  <c r="E58" i="76"/>
  <c r="F58" i="76"/>
  <c r="I58" i="76"/>
  <c r="M58" i="76" s="1"/>
  <c r="N58" i="76" s="1"/>
  <c r="R57" i="76"/>
  <c r="I55" i="76"/>
  <c r="I56" i="76" s="1"/>
  <c r="D56" i="76"/>
  <c r="D57" i="76"/>
  <c r="R56" i="76"/>
  <c r="M55" i="76"/>
  <c r="N55" i="76"/>
  <c r="R54" i="76"/>
  <c r="F9" i="75"/>
  <c r="P16" i="76"/>
  <c r="Q15" i="76"/>
  <c r="Q14" i="76"/>
  <c r="F6" i="75"/>
  <c r="Q13" i="76"/>
  <c r="Q12" i="76"/>
  <c r="Q11" i="76"/>
  <c r="U10" i="76"/>
  <c r="Q10" i="76"/>
  <c r="Q9" i="76"/>
  <c r="U8" i="76"/>
  <c r="Q8" i="76"/>
  <c r="U7" i="76"/>
  <c r="Q7" i="76"/>
  <c r="Q6" i="76"/>
  <c r="H7" i="75"/>
  <c r="D71" i="74"/>
  <c r="N71" i="74" s="1"/>
  <c r="N70" i="74" s="1"/>
  <c r="F29" i="73" s="1"/>
  <c r="R71" i="74"/>
  <c r="R68" i="74"/>
  <c r="R65" i="74"/>
  <c r="R64" i="74"/>
  <c r="R63" i="74"/>
  <c r="R61" i="74"/>
  <c r="R58" i="74"/>
  <c r="E58" i="74"/>
  <c r="F58" i="74"/>
  <c r="M58" i="74" s="1"/>
  <c r="N58" i="74" s="1"/>
  <c r="I58" i="74"/>
  <c r="R57" i="74"/>
  <c r="D56" i="74"/>
  <c r="D57" i="74"/>
  <c r="R56" i="74"/>
  <c r="I55" i="74"/>
  <c r="M55" i="74" s="1"/>
  <c r="N55" i="74" s="1"/>
  <c r="I56" i="74"/>
  <c r="M56" i="74" s="1"/>
  <c r="N56" i="74" s="1"/>
  <c r="R54" i="74"/>
  <c r="N20" i="74"/>
  <c r="F9" i="73" s="1"/>
  <c r="G18" i="74"/>
  <c r="N18" i="74"/>
  <c r="F8" i="73" s="1"/>
  <c r="P16" i="74"/>
  <c r="G16" i="74"/>
  <c r="N16" i="74"/>
  <c r="F7" i="73"/>
  <c r="Q15" i="74"/>
  <c r="Q14" i="74"/>
  <c r="N14" i="74"/>
  <c r="F6" i="73"/>
  <c r="Q13" i="74"/>
  <c r="Q12" i="74"/>
  <c r="Q11" i="74"/>
  <c r="U10" i="74"/>
  <c r="Q10" i="74"/>
  <c r="Q9" i="74"/>
  <c r="U8" i="74"/>
  <c r="Q8" i="74"/>
  <c r="U7" i="74"/>
  <c r="Q7" i="74"/>
  <c r="Q6" i="74"/>
  <c r="H7" i="73"/>
  <c r="R71" i="72"/>
  <c r="R68" i="72"/>
  <c r="R65" i="72"/>
  <c r="R64" i="72"/>
  <c r="R63" i="72"/>
  <c r="R61" i="72"/>
  <c r="R58" i="72"/>
  <c r="E58" i="72"/>
  <c r="F58" i="72"/>
  <c r="I58" i="72"/>
  <c r="M58" i="72"/>
  <c r="N58" i="72" s="1"/>
  <c r="R57" i="72"/>
  <c r="D56" i="72"/>
  <c r="D57" i="72"/>
  <c r="R56" i="72"/>
  <c r="I55" i="72"/>
  <c r="M55" i="72" s="1"/>
  <c r="N55" i="72" s="1"/>
  <c r="R54" i="72"/>
  <c r="N20" i="72"/>
  <c r="F9" i="71" s="1"/>
  <c r="G18" i="72"/>
  <c r="N18" i="72"/>
  <c r="F8" i="71" s="1"/>
  <c r="P16" i="72"/>
  <c r="G16" i="72"/>
  <c r="N16" i="72"/>
  <c r="F7" i="71"/>
  <c r="I7" i="71" s="1"/>
  <c r="Q15" i="72"/>
  <c r="Q14" i="72"/>
  <c r="N14" i="72"/>
  <c r="Q13" i="72"/>
  <c r="Q11" i="72"/>
  <c r="U10" i="72"/>
  <c r="Q10" i="72"/>
  <c r="Q9" i="72"/>
  <c r="U8" i="72"/>
  <c r="Q8" i="72"/>
  <c r="U7" i="72"/>
  <c r="Q7" i="72"/>
  <c r="Q6" i="72"/>
  <c r="H7" i="71"/>
  <c r="F6" i="71"/>
  <c r="D71" i="70"/>
  <c r="N71" i="70" s="1"/>
  <c r="N70" i="70" s="1"/>
  <c r="F29" i="69" s="1"/>
  <c r="R71" i="70"/>
  <c r="R68" i="70"/>
  <c r="R65" i="70"/>
  <c r="R64" i="70"/>
  <c r="R63" i="70"/>
  <c r="R61" i="70"/>
  <c r="R58" i="70"/>
  <c r="E58" i="70"/>
  <c r="F58" i="70"/>
  <c r="I58" i="70"/>
  <c r="M58" i="70"/>
  <c r="N58" i="70"/>
  <c r="R57" i="70"/>
  <c r="I55" i="70"/>
  <c r="D56" i="70"/>
  <c r="D57" i="70" s="1"/>
  <c r="R56" i="70"/>
  <c r="R54" i="70"/>
  <c r="N20" i="70"/>
  <c r="F9" i="69"/>
  <c r="G18" i="70"/>
  <c r="N18" i="70"/>
  <c r="F8" i="69" s="1"/>
  <c r="P16" i="70"/>
  <c r="G16" i="70"/>
  <c r="N16" i="70" s="1"/>
  <c r="F7" i="69" s="1"/>
  <c r="I7" i="69" s="1"/>
  <c r="Q15" i="70"/>
  <c r="Q14" i="70"/>
  <c r="N14" i="70"/>
  <c r="F6" i="69"/>
  <c r="Q13" i="70"/>
  <c r="Q12" i="70"/>
  <c r="Q11" i="70"/>
  <c r="U10" i="70"/>
  <c r="Q10" i="70"/>
  <c r="Q9" i="70"/>
  <c r="U8" i="70"/>
  <c r="Q8" i="70"/>
  <c r="U7" i="70"/>
  <c r="Q7" i="70"/>
  <c r="Q6" i="70"/>
  <c r="H7" i="69"/>
  <c r="R71" i="68"/>
  <c r="R68" i="68"/>
  <c r="R65" i="68"/>
  <c r="R64" i="68"/>
  <c r="R63" i="68"/>
  <c r="R61" i="68"/>
  <c r="R58" i="68"/>
  <c r="I58" i="68"/>
  <c r="F58" i="68"/>
  <c r="E58" i="68"/>
  <c r="M58" i="68" s="1"/>
  <c r="N58" i="68" s="1"/>
  <c r="R57" i="68"/>
  <c r="R56" i="68"/>
  <c r="I55" i="68"/>
  <c r="M55" i="68" s="1"/>
  <c r="N55" i="68" s="1"/>
  <c r="I56" i="68"/>
  <c r="I57" i="68" s="1"/>
  <c r="M57" i="68" s="1"/>
  <c r="N57" i="68" s="1"/>
  <c r="D56" i="68"/>
  <c r="D57" i="68"/>
  <c r="R54" i="68"/>
  <c r="N20" i="68"/>
  <c r="F9" i="67"/>
  <c r="G18" i="68"/>
  <c r="N18" i="68" s="1"/>
  <c r="F8" i="67" s="1"/>
  <c r="P16" i="68"/>
  <c r="G16" i="68"/>
  <c r="N16" i="68"/>
  <c r="F7" i="67" s="1"/>
  <c r="I7" i="67" s="1"/>
  <c r="Q15" i="68"/>
  <c r="Q14" i="68"/>
  <c r="N14" i="68"/>
  <c r="F6" i="67"/>
  <c r="Q13" i="68"/>
  <c r="Q12" i="68"/>
  <c r="Q11" i="68"/>
  <c r="U10" i="68"/>
  <c r="Q10" i="68"/>
  <c r="Q9" i="68"/>
  <c r="U8" i="68"/>
  <c r="Q8" i="68"/>
  <c r="U7" i="68"/>
  <c r="Q7" i="68"/>
  <c r="Q6" i="68"/>
  <c r="H7" i="67"/>
  <c r="D71" i="66"/>
  <c r="N71" i="66"/>
  <c r="N70" i="66"/>
  <c r="F29" i="65" s="1"/>
  <c r="R71" i="66"/>
  <c r="R68" i="66"/>
  <c r="R65" i="66"/>
  <c r="R64" i="66"/>
  <c r="R63" i="66"/>
  <c r="R61" i="66"/>
  <c r="R58" i="66"/>
  <c r="I58" i="66"/>
  <c r="F58" i="66"/>
  <c r="E58" i="66"/>
  <c r="M58" i="66"/>
  <c r="N58" i="66" s="1"/>
  <c r="R57" i="66"/>
  <c r="D56" i="66"/>
  <c r="D57" i="66"/>
  <c r="R56" i="66"/>
  <c r="I55" i="66"/>
  <c r="M55" i="66"/>
  <c r="N55" i="66"/>
  <c r="I56" i="66"/>
  <c r="M56" i="66" s="1"/>
  <c r="N56" i="66" s="1"/>
  <c r="R54" i="66"/>
  <c r="N20" i="66"/>
  <c r="F9" i="65" s="1"/>
  <c r="G18" i="66"/>
  <c r="N18" i="66"/>
  <c r="F8" i="65"/>
  <c r="P16" i="66"/>
  <c r="G16" i="66"/>
  <c r="N16" i="66" s="1"/>
  <c r="F7" i="65" s="1"/>
  <c r="I7" i="65" s="1"/>
  <c r="Q15" i="66"/>
  <c r="Q14" i="66"/>
  <c r="N14" i="66"/>
  <c r="Q13" i="66"/>
  <c r="Q12" i="66"/>
  <c r="Q11" i="66"/>
  <c r="U10" i="66"/>
  <c r="Q10" i="66"/>
  <c r="Q9" i="66"/>
  <c r="U8" i="66"/>
  <c r="Q8" i="66"/>
  <c r="U7" i="66"/>
  <c r="Q7" i="66"/>
  <c r="Q6" i="66"/>
  <c r="H7" i="65"/>
  <c r="F6" i="65"/>
  <c r="J7" i="64"/>
  <c r="M7" i="64" s="1"/>
  <c r="D68" i="64" s="1"/>
  <c r="N68" i="64" s="1"/>
  <c r="R71" i="64"/>
  <c r="R68" i="64"/>
  <c r="E68" i="64"/>
  <c r="R65" i="64"/>
  <c r="R64" i="64"/>
  <c r="R63" i="64"/>
  <c r="R61" i="64"/>
  <c r="R58" i="64"/>
  <c r="E58" i="64"/>
  <c r="F58" i="64"/>
  <c r="I58" i="64"/>
  <c r="M58" i="64"/>
  <c r="N58" i="64" s="1"/>
  <c r="R57" i="64"/>
  <c r="I55" i="64"/>
  <c r="M55" i="64" s="1"/>
  <c r="N55" i="64" s="1"/>
  <c r="D56" i="64"/>
  <c r="D57" i="64"/>
  <c r="R56" i="64"/>
  <c r="R54" i="64"/>
  <c r="N20" i="64"/>
  <c r="F9" i="63" s="1"/>
  <c r="G18" i="64"/>
  <c r="N18" i="64" s="1"/>
  <c r="F8" i="63" s="1"/>
  <c r="P16" i="64"/>
  <c r="G16" i="64"/>
  <c r="N16" i="64"/>
  <c r="F7" i="63"/>
  <c r="Q15" i="64"/>
  <c r="Q14" i="64"/>
  <c r="N14" i="64"/>
  <c r="F6" i="63" s="1"/>
  <c r="Q13" i="64"/>
  <c r="Q12" i="64"/>
  <c r="Q11" i="64"/>
  <c r="U10" i="64"/>
  <c r="Q10" i="64"/>
  <c r="Q9" i="64"/>
  <c r="U8" i="64"/>
  <c r="Q8" i="64"/>
  <c r="U7" i="64"/>
  <c r="Q7" i="64"/>
  <c r="N67" i="64"/>
  <c r="F28" i="63"/>
  <c r="Q6" i="64"/>
  <c r="H7" i="63"/>
  <c r="J7" i="62"/>
  <c r="R71" i="62"/>
  <c r="R68" i="62"/>
  <c r="E68" i="62"/>
  <c r="R65" i="62"/>
  <c r="R64" i="62"/>
  <c r="R63" i="62"/>
  <c r="R61" i="62"/>
  <c r="R58" i="62"/>
  <c r="I58" i="62"/>
  <c r="F58" i="62"/>
  <c r="E58" i="62"/>
  <c r="M58" i="62"/>
  <c r="N58" i="62"/>
  <c r="R57" i="62"/>
  <c r="R56" i="62"/>
  <c r="D56" i="62"/>
  <c r="D57" i="62" s="1"/>
  <c r="I55" i="62"/>
  <c r="I56" i="62" s="1"/>
  <c r="R54" i="62"/>
  <c r="E39" i="62"/>
  <c r="M39" i="62" s="1"/>
  <c r="N39" i="62" s="1"/>
  <c r="I38" i="62"/>
  <c r="N32" i="62"/>
  <c r="F16" i="61"/>
  <c r="I16" i="61"/>
  <c r="D26" i="62"/>
  <c r="N26" i="62"/>
  <c r="F24" i="62"/>
  <c r="E24" i="62"/>
  <c r="E34" i="62"/>
  <c r="N20" i="62"/>
  <c r="G18" i="62"/>
  <c r="N18" i="62" s="1"/>
  <c r="P16" i="62"/>
  <c r="G16" i="62"/>
  <c r="N16" i="62" s="1"/>
  <c r="Q15" i="62"/>
  <c r="Q14" i="62"/>
  <c r="N14" i="62"/>
  <c r="Q13" i="62"/>
  <c r="Q12" i="62"/>
  <c r="Q11" i="62"/>
  <c r="U10" i="62"/>
  <c r="Q10" i="62"/>
  <c r="Q9" i="62"/>
  <c r="U8" i="62"/>
  <c r="Q8" i="62"/>
  <c r="U7" i="62"/>
  <c r="Q7" i="62"/>
  <c r="Q6" i="62"/>
  <c r="J7" i="39"/>
  <c r="D76" i="39" s="1"/>
  <c r="N76" i="39" s="1"/>
  <c r="Q6" i="39"/>
  <c r="Q15" i="39"/>
  <c r="Q14" i="39"/>
  <c r="Q13" i="39"/>
  <c r="Q12" i="39"/>
  <c r="Q11" i="39"/>
  <c r="Q10" i="39"/>
  <c r="Q9" i="39"/>
  <c r="Q8" i="39"/>
  <c r="Q7" i="39"/>
  <c r="I55" i="39"/>
  <c r="M55" i="39" s="1"/>
  <c r="N55" i="39" s="1"/>
  <c r="M54" i="39"/>
  <c r="N54" i="39" s="1"/>
  <c r="N53" i="39" s="1"/>
  <c r="H21" i="40"/>
  <c r="R58" i="39"/>
  <c r="I58" i="39"/>
  <c r="F58" i="39"/>
  <c r="E58" i="39"/>
  <c r="R57" i="39"/>
  <c r="R56" i="39"/>
  <c r="D56" i="39"/>
  <c r="D57" i="39" s="1"/>
  <c r="R54" i="39"/>
  <c r="I95" i="38"/>
  <c r="I96" i="38"/>
  <c r="N96" i="38" s="1"/>
  <c r="D63" i="39"/>
  <c r="I62" i="39"/>
  <c r="E65" i="39"/>
  <c r="E39" i="39"/>
  <c r="E75" i="39"/>
  <c r="R71" i="39"/>
  <c r="E68" i="39"/>
  <c r="R68" i="39"/>
  <c r="I38" i="39"/>
  <c r="D71" i="76"/>
  <c r="N71" i="76"/>
  <c r="N70" i="76" s="1"/>
  <c r="F29" i="75" s="1"/>
  <c r="D71" i="62"/>
  <c r="N71" i="62"/>
  <c r="N70" i="62" s="1"/>
  <c r="F29" i="61" s="1"/>
  <c r="D76" i="62"/>
  <c r="D71" i="64"/>
  <c r="N71" i="64"/>
  <c r="N70" i="64" s="1"/>
  <c r="F29" i="63" s="1"/>
  <c r="D76" i="64"/>
  <c r="N76" i="64"/>
  <c r="N74" i="64" s="1"/>
  <c r="F31" i="63" s="1"/>
  <c r="M56" i="68"/>
  <c r="N56" i="68" s="1"/>
  <c r="M38" i="62"/>
  <c r="N38" i="62" s="1"/>
  <c r="N37" i="62" s="1"/>
  <c r="G24" i="62"/>
  <c r="M24" i="62" s="1"/>
  <c r="N24" i="62" s="1"/>
  <c r="D43" i="62"/>
  <c r="I43" i="62"/>
  <c r="M43" i="62" s="1"/>
  <c r="N43" i="62" s="1"/>
  <c r="M7" i="62"/>
  <c r="D68" i="62"/>
  <c r="N68" i="62" s="1"/>
  <c r="N67" i="62" s="1"/>
  <c r="F28" i="61" s="1"/>
  <c r="M55" i="62"/>
  <c r="N55" i="62" s="1"/>
  <c r="K91" i="41"/>
  <c r="I7" i="73"/>
  <c r="I7" i="63"/>
  <c r="D71" i="68"/>
  <c r="N71" i="68" s="1"/>
  <c r="N70" i="68" s="1"/>
  <c r="F29" i="67" s="1"/>
  <c r="F34" i="62"/>
  <c r="G34" i="62"/>
  <c r="N34" i="62" s="1"/>
  <c r="F17" i="61" s="1"/>
  <c r="I56" i="39"/>
  <c r="I57" i="39" s="1"/>
  <c r="M57" i="39" s="1"/>
  <c r="N57" i="39" s="1"/>
  <c r="M56" i="39"/>
  <c r="N56" i="39" s="1"/>
  <c r="G26" i="39"/>
  <c r="R65" i="39"/>
  <c r="R64" i="39"/>
  <c r="R63" i="39"/>
  <c r="R61" i="39"/>
  <c r="H32" i="40"/>
  <c r="I32" i="40" s="1"/>
  <c r="H15" i="40"/>
  <c r="H16" i="40"/>
  <c r="H17" i="40"/>
  <c r="H18" i="40"/>
  <c r="H14" i="40"/>
  <c r="H8" i="40"/>
  <c r="H9" i="40"/>
  <c r="H10" i="40"/>
  <c r="H11" i="40"/>
  <c r="P16" i="39"/>
  <c r="U10" i="39"/>
  <c r="U8" i="39"/>
  <c r="U7" i="39"/>
  <c r="H24" i="7"/>
  <c r="F24" i="7"/>
  <c r="I24" i="7"/>
  <c r="H16" i="8"/>
  <c r="F20" i="7"/>
  <c r="H20" i="7"/>
  <c r="I20" i="7" s="1"/>
  <c r="H22" i="40"/>
  <c r="D71" i="39"/>
  <c r="N71" i="39" s="1"/>
  <c r="N70" i="39" s="1"/>
  <c r="M7" i="39"/>
  <c r="D68" i="39" s="1"/>
  <c r="N68" i="39" s="1"/>
  <c r="N67" i="39"/>
  <c r="N20" i="39"/>
  <c r="G18" i="39"/>
  <c r="N18" i="39"/>
  <c r="G16" i="39"/>
  <c r="N14" i="39"/>
  <c r="N78" i="39"/>
  <c r="I65" i="39"/>
  <c r="D38" i="39"/>
  <c r="D61" i="39" s="1"/>
  <c r="M61" i="39" s="1"/>
  <c r="N61" i="39" s="1"/>
  <c r="N60" i="39" s="1"/>
  <c r="D26" i="39"/>
  <c r="F39" i="39"/>
  <c r="F65" i="39" s="1"/>
  <c r="M65" i="39" s="1"/>
  <c r="N65" i="39" s="1"/>
  <c r="F24" i="39"/>
  <c r="E76" i="39"/>
  <c r="E24" i="39"/>
  <c r="E34" i="39" s="1"/>
  <c r="G34" i="39" s="1"/>
  <c r="N34" i="39" s="1"/>
  <c r="I63" i="39"/>
  <c r="I64" i="39" s="1"/>
  <c r="M64" i="39" s="1"/>
  <c r="N64" i="39" s="1"/>
  <c r="I43" i="39"/>
  <c r="N16" i="39"/>
  <c r="F85" i="39"/>
  <c r="M38" i="39"/>
  <c r="N38" i="39"/>
  <c r="F34" i="39"/>
  <c r="N32" i="39"/>
  <c r="N26" i="39"/>
  <c r="G28" i="39" s="1"/>
  <c r="O94" i="38"/>
  <c r="N94" i="38"/>
  <c r="A179" i="38"/>
  <c r="N168" i="38"/>
  <c r="N169" i="38"/>
  <c r="N165" i="38"/>
  <c r="N166" i="38" s="1"/>
  <c r="N162" i="38" s="1"/>
  <c r="C162" i="38"/>
  <c r="N156" i="38"/>
  <c r="N155" i="38"/>
  <c r="N157" i="38" s="1"/>
  <c r="N147" i="38"/>
  <c r="N146" i="38"/>
  <c r="N145" i="38"/>
  <c r="N144" i="38"/>
  <c r="N148" i="38" s="1"/>
  <c r="N141" i="38"/>
  <c r="N142" i="38" s="1"/>
  <c r="N140" i="38"/>
  <c r="N135" i="38"/>
  <c r="N136" i="38" s="1"/>
  <c r="N134" i="38"/>
  <c r="N133" i="38"/>
  <c r="N132" i="38"/>
  <c r="N124" i="38"/>
  <c r="N123" i="38"/>
  <c r="N122" i="38"/>
  <c r="N121" i="38"/>
  <c r="N118" i="38"/>
  <c r="N119" i="38" s="1"/>
  <c r="N110" i="38"/>
  <c r="N109" i="38"/>
  <c r="N108" i="38"/>
  <c r="N111" i="38" s="1"/>
  <c r="N105" i="38"/>
  <c r="N106" i="38" s="1"/>
  <c r="N104" i="38"/>
  <c r="K98" i="38"/>
  <c r="O95" i="38"/>
  <c r="C91" i="38"/>
  <c r="N88" i="38"/>
  <c r="N87" i="38"/>
  <c r="N86" i="38"/>
  <c r="N85" i="38"/>
  <c r="N84" i="38"/>
  <c r="N83" i="38"/>
  <c r="N82" i="38"/>
  <c r="N81" i="38"/>
  <c r="N80" i="38"/>
  <c r="N79" i="38"/>
  <c r="N78" i="38"/>
  <c r="N77" i="38"/>
  <c r="N89" i="38" s="1"/>
  <c r="M74" i="38"/>
  <c r="N74" i="38"/>
  <c r="N73" i="38"/>
  <c r="N72" i="38"/>
  <c r="C69" i="38"/>
  <c r="N66" i="38"/>
  <c r="N65" i="38"/>
  <c r="N67" i="38"/>
  <c r="N62" i="38" s="1"/>
  <c r="P65" i="38"/>
  <c r="O65" i="38"/>
  <c r="C62" i="38"/>
  <c r="N59" i="38"/>
  <c r="N58" i="38"/>
  <c r="N57" i="38"/>
  <c r="N56" i="38"/>
  <c r="N53" i="38"/>
  <c r="N52" i="38"/>
  <c r="N54" i="38" s="1"/>
  <c r="C49" i="38"/>
  <c r="N39" i="38"/>
  <c r="N40" i="38" s="1"/>
  <c r="N42" i="38" s="1"/>
  <c r="N43" i="38" s="1"/>
  <c r="N44" i="38" s="1"/>
  <c r="A34" i="38"/>
  <c r="U27" i="38"/>
  <c r="N23" i="38"/>
  <c r="N24" i="38"/>
  <c r="N20" i="38"/>
  <c r="N19" i="38"/>
  <c r="N16" i="38"/>
  <c r="N15" i="38"/>
  <c r="P14" i="38"/>
  <c r="N14" i="38"/>
  <c r="N17" i="38" s="1"/>
  <c r="N26" i="38" s="1"/>
  <c r="C11" i="38"/>
  <c r="B7" i="38"/>
  <c r="A7" i="38"/>
  <c r="B6" i="38"/>
  <c r="A6" i="38"/>
  <c r="B5" i="38"/>
  <c r="A5" i="38"/>
  <c r="B4" i="38"/>
  <c r="A4" i="38"/>
  <c r="B3" i="38"/>
  <c r="A3" i="38"/>
  <c r="B2" i="38"/>
  <c r="A2" i="38"/>
  <c r="N95" i="38"/>
  <c r="M62" i="39"/>
  <c r="N62" i="39"/>
  <c r="N125" i="38"/>
  <c r="N75" i="38"/>
  <c r="N69" i="38" s="1"/>
  <c r="D64" i="39"/>
  <c r="M63" i="39"/>
  <c r="N63" i="39" s="1"/>
  <c r="A178" i="38"/>
  <c r="P40" i="8"/>
  <c r="C44" i="8"/>
  <c r="F32" i="7" s="1"/>
  <c r="I32" i="7" s="1"/>
  <c r="I29" i="7" s="1"/>
  <c r="L19" i="7"/>
  <c r="L21" i="7"/>
  <c r="L22" i="7"/>
  <c r="L23" i="7"/>
  <c r="L24" i="7"/>
  <c r="L25" i="7" s="1"/>
  <c r="P19" i="7"/>
  <c r="P21" i="7"/>
  <c r="P34" i="7" s="1"/>
  <c r="O19" i="7"/>
  <c r="O21" i="7"/>
  <c r="K45" i="8"/>
  <c r="M45" i="8" s="1"/>
  <c r="O45" i="8" s="1"/>
  <c r="O46" i="8" s="1"/>
  <c r="J42" i="8"/>
  <c r="K43" i="8" s="1"/>
  <c r="M43" i="8" s="1"/>
  <c r="O43" i="8" s="1"/>
  <c r="K31" i="7"/>
  <c r="M46" i="8"/>
  <c r="F10" i="8"/>
  <c r="A9" i="8"/>
  <c r="A8" i="8"/>
  <c r="A7" i="8"/>
  <c r="A6" i="8"/>
  <c r="H49" i="8"/>
  <c r="F35" i="7" s="1"/>
  <c r="A49" i="8"/>
  <c r="B49" i="8"/>
  <c r="D44" i="8"/>
  <c r="B18" i="8"/>
  <c r="A18" i="8"/>
  <c r="B15" i="8"/>
  <c r="B16" i="8"/>
  <c r="B14" i="8"/>
  <c r="A16" i="8"/>
  <c r="A15" i="8"/>
  <c r="A14" i="8"/>
  <c r="J24" i="8"/>
  <c r="E51" i="36"/>
  <c r="E45" i="36"/>
  <c r="E42" i="36"/>
  <c r="E37" i="36"/>
  <c r="E34" i="36"/>
  <c r="E53" i="36" s="1"/>
  <c r="B20" i="36"/>
  <c r="B19" i="36"/>
  <c r="B18" i="36"/>
  <c r="B17" i="36"/>
  <c r="B16" i="36"/>
  <c r="D46" i="35"/>
  <c r="C46" i="35"/>
  <c r="D42" i="35"/>
  <c r="D47" i="35" s="1"/>
  <c r="C42" i="35"/>
  <c r="D35" i="35"/>
  <c r="C35" i="35"/>
  <c r="D23" i="35"/>
  <c r="C23" i="35"/>
  <c r="I23" i="7"/>
  <c r="H27" i="7"/>
  <c r="I27" i="7" s="1"/>
  <c r="I26" i="7" s="1"/>
  <c r="F21" i="7"/>
  <c r="H15" i="8"/>
  <c r="F19" i="7"/>
  <c r="I19" i="7" s="1"/>
  <c r="H14" i="8"/>
  <c r="F18" i="7" s="1"/>
  <c r="I18" i="7" s="1"/>
  <c r="I17" i="7" s="1"/>
  <c r="H35" i="7"/>
  <c r="H32" i="7"/>
  <c r="H31" i="7"/>
  <c r="I31" i="7" s="1"/>
  <c r="H21" i="7"/>
  <c r="H19" i="7"/>
  <c r="H18" i="7"/>
  <c r="I21" i="7"/>
  <c r="E44" i="8"/>
  <c r="F44" i="8" s="1"/>
  <c r="M45" i="66" l="1"/>
  <c r="N45" i="66" s="1"/>
  <c r="F22" i="65" s="1"/>
  <c r="F21" i="65"/>
  <c r="M47" i="66"/>
  <c r="N47" i="66" s="1"/>
  <c r="F23" i="65" s="1"/>
  <c r="F19" i="73"/>
  <c r="M41" i="74"/>
  <c r="N41" i="74" s="1"/>
  <c r="F20" i="73" s="1"/>
  <c r="M47" i="74"/>
  <c r="N47" i="74" s="1"/>
  <c r="F23" i="73" s="1"/>
  <c r="M45" i="74"/>
  <c r="N45" i="74" s="1"/>
  <c r="F22" i="73" s="1"/>
  <c r="F21" i="73"/>
  <c r="I21" i="73" s="1"/>
  <c r="M28" i="76"/>
  <c r="F12" i="75"/>
  <c r="C47" i="35"/>
  <c r="N21" i="38"/>
  <c r="N28" i="38" s="1"/>
  <c r="N29" i="38" s="1"/>
  <c r="N30" i="38" s="1"/>
  <c r="N31" i="38" s="1"/>
  <c r="N33" i="38" s="1"/>
  <c r="M39" i="39"/>
  <c r="N39" i="39" s="1"/>
  <c r="N37" i="39" s="1"/>
  <c r="M41" i="39" s="1"/>
  <c r="N41" i="39" s="1"/>
  <c r="M28" i="74"/>
  <c r="F12" i="73"/>
  <c r="M28" i="62"/>
  <c r="F12" i="61"/>
  <c r="N37" i="68"/>
  <c r="N60" i="74"/>
  <c r="F27" i="73" s="1"/>
  <c r="F13" i="61"/>
  <c r="G28" i="62"/>
  <c r="N28" i="62" s="1"/>
  <c r="I36" i="65"/>
  <c r="I35" i="65" s="1"/>
  <c r="M47" i="68"/>
  <c r="N47" i="68" s="1"/>
  <c r="F23" i="67" s="1"/>
  <c r="I23" i="67" s="1"/>
  <c r="M45" i="68"/>
  <c r="N45" i="68" s="1"/>
  <c r="F22" i="67" s="1"/>
  <c r="F21" i="67"/>
  <c r="G85" i="72"/>
  <c r="N85" i="72" s="1"/>
  <c r="F36" i="71" s="1"/>
  <c r="I36" i="71" s="1"/>
  <c r="I35" i="71" s="1"/>
  <c r="N28" i="74"/>
  <c r="M64" i="64"/>
  <c r="N64" i="64" s="1"/>
  <c r="N37" i="70"/>
  <c r="I35" i="7"/>
  <c r="I34" i="7" s="1"/>
  <c r="I37" i="7" s="1"/>
  <c r="N60" i="68"/>
  <c r="F27" i="67" s="1"/>
  <c r="I27" i="67" s="1"/>
  <c r="E82" i="72"/>
  <c r="N82" i="72" s="1"/>
  <c r="F34" i="71" s="1"/>
  <c r="E80" i="72"/>
  <c r="N75" i="72"/>
  <c r="N74" i="72" s="1"/>
  <c r="F31" i="71" s="1"/>
  <c r="I27" i="73"/>
  <c r="M56" i="76"/>
  <c r="N56" i="76" s="1"/>
  <c r="I57" i="76"/>
  <c r="M57" i="76" s="1"/>
  <c r="N57" i="76" s="1"/>
  <c r="F13" i="75"/>
  <c r="G28" i="76"/>
  <c r="N28" i="78"/>
  <c r="M57" i="78"/>
  <c r="N57" i="78" s="1"/>
  <c r="F20" i="40"/>
  <c r="E80" i="68"/>
  <c r="F85" i="68"/>
  <c r="F21" i="69"/>
  <c r="I21" i="69" s="1"/>
  <c r="M47" i="70"/>
  <c r="N47" i="70" s="1"/>
  <c r="F23" i="69" s="1"/>
  <c r="I23" i="69" s="1"/>
  <c r="M63" i="72"/>
  <c r="N63" i="72" s="1"/>
  <c r="N60" i="72" s="1"/>
  <c r="F27" i="71" s="1"/>
  <c r="I27" i="71" s="1"/>
  <c r="I64" i="72"/>
  <c r="M64" i="72" s="1"/>
  <c r="N64" i="72" s="1"/>
  <c r="F12" i="77"/>
  <c r="M28" i="78"/>
  <c r="F12" i="63"/>
  <c r="M28" i="64"/>
  <c r="F19" i="61"/>
  <c r="M41" i="62"/>
  <c r="N41" i="62" s="1"/>
  <c r="F20" i="61" s="1"/>
  <c r="E85" i="39"/>
  <c r="G85" i="39" s="1"/>
  <c r="N85" i="39" s="1"/>
  <c r="E82" i="39"/>
  <c r="N82" i="39" s="1"/>
  <c r="N75" i="39"/>
  <c r="N74" i="39" s="1"/>
  <c r="E80" i="39"/>
  <c r="I56" i="70"/>
  <c r="M55" i="70"/>
  <c r="N55" i="70" s="1"/>
  <c r="I57" i="74"/>
  <c r="M57" i="74" s="1"/>
  <c r="N57" i="74" s="1"/>
  <c r="N60" i="64"/>
  <c r="F27" i="63" s="1"/>
  <c r="I27" i="63" s="1"/>
  <c r="I20" i="65"/>
  <c r="F19" i="65"/>
  <c r="I19" i="65" s="1"/>
  <c r="E82" i="66"/>
  <c r="N82" i="66" s="1"/>
  <c r="F34" i="65" s="1"/>
  <c r="E80" i="66"/>
  <c r="N28" i="68"/>
  <c r="G85" i="68"/>
  <c r="N85" i="68" s="1"/>
  <c r="F36" i="67" s="1"/>
  <c r="I36" i="67" s="1"/>
  <c r="I35" i="67" s="1"/>
  <c r="F19" i="71"/>
  <c r="M41" i="72"/>
  <c r="N41" i="72" s="1"/>
  <c r="F20" i="71" s="1"/>
  <c r="I20" i="71" s="1"/>
  <c r="G34" i="78"/>
  <c r="N34" i="78" s="1"/>
  <c r="F17" i="77" s="1"/>
  <c r="M65" i="78"/>
  <c r="N65" i="78" s="1"/>
  <c r="F21" i="40"/>
  <c r="I21" i="40" s="1"/>
  <c r="M41" i="64"/>
  <c r="N41" i="64" s="1"/>
  <c r="F20" i="63" s="1"/>
  <c r="I20" i="63" s="1"/>
  <c r="F19" i="63"/>
  <c r="I19" i="63" s="1"/>
  <c r="I21" i="65"/>
  <c r="F85" i="62"/>
  <c r="N76" i="62"/>
  <c r="I22" i="65"/>
  <c r="I22" i="71"/>
  <c r="O25" i="7"/>
  <c r="O26" i="7" s="1"/>
  <c r="P33" i="7"/>
  <c r="P35" i="7" s="1"/>
  <c r="I23" i="65"/>
  <c r="I19" i="73"/>
  <c r="I26" i="75"/>
  <c r="N37" i="76"/>
  <c r="N37" i="78"/>
  <c r="F24" i="40"/>
  <c r="N49" i="38"/>
  <c r="N151" i="38"/>
  <c r="N153" i="38" s="1"/>
  <c r="N158" i="38" s="1"/>
  <c r="M63" i="66"/>
  <c r="N63" i="66" s="1"/>
  <c r="N60" i="66" s="1"/>
  <c r="F27" i="65" s="1"/>
  <c r="I27" i="65" s="1"/>
  <c r="I64" i="66"/>
  <c r="M64" i="66" s="1"/>
  <c r="N64" i="66" s="1"/>
  <c r="E76" i="70"/>
  <c r="M65" i="70"/>
  <c r="N65" i="70" s="1"/>
  <c r="M28" i="72"/>
  <c r="F12" i="71"/>
  <c r="I20" i="73"/>
  <c r="M47" i="76"/>
  <c r="N47" i="76" s="1"/>
  <c r="F23" i="75" s="1"/>
  <c r="I23" i="75" s="1"/>
  <c r="M45" i="76"/>
  <c r="N45" i="76" s="1"/>
  <c r="F22" i="75" s="1"/>
  <c r="I22" i="75" s="1"/>
  <c r="F21" i="75"/>
  <c r="I21" i="75" s="1"/>
  <c r="F7" i="81"/>
  <c r="I7" i="81" s="1"/>
  <c r="F7" i="87"/>
  <c r="I7" i="87" s="1"/>
  <c r="F7" i="75"/>
  <c r="I7" i="75" s="1"/>
  <c r="I21" i="77"/>
  <c r="M64" i="78"/>
  <c r="N64" i="78" s="1"/>
  <c r="F23" i="40"/>
  <c r="I57" i="62"/>
  <c r="M57" i="62" s="1"/>
  <c r="N57" i="62" s="1"/>
  <c r="M56" i="62"/>
  <c r="N56" i="62" s="1"/>
  <c r="N28" i="64"/>
  <c r="G34" i="68"/>
  <c r="N34" i="68" s="1"/>
  <c r="F17" i="67" s="1"/>
  <c r="N128" i="38"/>
  <c r="N130" i="38" s="1"/>
  <c r="N137" i="38" s="1"/>
  <c r="N60" i="38"/>
  <c r="N113" i="38"/>
  <c r="N115" i="38" s="1"/>
  <c r="M58" i="39"/>
  <c r="N58" i="39" s="1"/>
  <c r="M63" i="62"/>
  <c r="N63" i="62" s="1"/>
  <c r="N60" i="62" s="1"/>
  <c r="F27" i="61" s="1"/>
  <c r="I64" i="62"/>
  <c r="M64" i="62" s="1"/>
  <c r="N64" i="62" s="1"/>
  <c r="I16" i="63"/>
  <c r="I21" i="67"/>
  <c r="N76" i="68"/>
  <c r="F34" i="70"/>
  <c r="F21" i="71"/>
  <c r="I21" i="71" s="1"/>
  <c r="M47" i="72"/>
  <c r="N47" i="72" s="1"/>
  <c r="F23" i="71" s="1"/>
  <c r="I23" i="71" s="1"/>
  <c r="I22" i="73"/>
  <c r="N76" i="76"/>
  <c r="N74" i="76" s="1"/>
  <c r="F31" i="75" s="1"/>
  <c r="I7" i="77"/>
  <c r="M63" i="70"/>
  <c r="N63" i="70" s="1"/>
  <c r="N60" i="70" s="1"/>
  <c r="F27" i="69" s="1"/>
  <c r="I27" i="69" s="1"/>
  <c r="I64" i="70"/>
  <c r="M64" i="70" s="1"/>
  <c r="N64" i="70" s="1"/>
  <c r="M47" i="62"/>
  <c r="N47" i="62" s="1"/>
  <c r="F23" i="61" s="1"/>
  <c r="I23" i="61" s="1"/>
  <c r="M45" i="62"/>
  <c r="N45" i="62" s="1"/>
  <c r="F22" i="61" s="1"/>
  <c r="F21" i="61"/>
  <c r="I56" i="72"/>
  <c r="I21" i="61"/>
  <c r="M28" i="66"/>
  <c r="I22" i="67"/>
  <c r="F12" i="69"/>
  <c r="M28" i="70"/>
  <c r="F13" i="71"/>
  <c r="I13" i="71" s="1"/>
  <c r="G28" i="72"/>
  <c r="N28" i="72" s="1"/>
  <c r="I23" i="73"/>
  <c r="N74" i="74"/>
  <c r="F31" i="73" s="1"/>
  <c r="F8" i="81"/>
  <c r="F8" i="87"/>
  <c r="F8" i="75"/>
  <c r="F8" i="77"/>
  <c r="N60" i="78"/>
  <c r="F27" i="77" s="1"/>
  <c r="I27" i="77" s="1"/>
  <c r="I19" i="71"/>
  <c r="I22" i="61"/>
  <c r="F34" i="64"/>
  <c r="G34" i="64" s="1"/>
  <c r="N34" i="64" s="1"/>
  <c r="F17" i="63" s="1"/>
  <c r="F12" i="40" s="1"/>
  <c r="G34" i="70"/>
  <c r="N34" i="70" s="1"/>
  <c r="F17" i="69" s="1"/>
  <c r="M7" i="72"/>
  <c r="D68" i="72" s="1"/>
  <c r="N68" i="72" s="1"/>
  <c r="N67" i="72" s="1"/>
  <c r="F28" i="71" s="1"/>
  <c r="D71" i="72"/>
  <c r="N71" i="72" s="1"/>
  <c r="N70" i="72" s="1"/>
  <c r="F29" i="71" s="1"/>
  <c r="I13" i="75"/>
  <c r="M47" i="78"/>
  <c r="N47" i="78" s="1"/>
  <c r="F23" i="77" s="1"/>
  <c r="I23" i="77" s="1"/>
  <c r="M45" i="78"/>
  <c r="N45" i="78" s="1"/>
  <c r="F22" i="77" s="1"/>
  <c r="I22" i="77" s="1"/>
  <c r="G24" i="39"/>
  <c r="M24" i="39" s="1"/>
  <c r="N24" i="39" s="1"/>
  <c r="M28" i="39" s="1"/>
  <c r="N28" i="39" s="1"/>
  <c r="M30" i="39" s="1"/>
  <c r="N30" i="39" s="1"/>
  <c r="D43" i="39"/>
  <c r="M43" i="39" s="1"/>
  <c r="N43" i="39" s="1"/>
  <c r="I57" i="66"/>
  <c r="M57" i="66" s="1"/>
  <c r="N57" i="66" s="1"/>
  <c r="F11" i="40"/>
  <c r="I11" i="40" s="1"/>
  <c r="I26" i="61"/>
  <c r="I26" i="63"/>
  <c r="N75" i="70"/>
  <c r="E80" i="74"/>
  <c r="E85" i="78"/>
  <c r="G85" i="78" s="1"/>
  <c r="N85" i="78" s="1"/>
  <c r="F36" i="77" s="1"/>
  <c r="I36" i="77" s="1"/>
  <c r="I35" i="77" s="1"/>
  <c r="I18" i="85"/>
  <c r="N34" i="38"/>
  <c r="G28" i="66"/>
  <c r="N75" i="78"/>
  <c r="N74" i="78" s="1"/>
  <c r="F31" i="77" s="1"/>
  <c r="F85" i="64"/>
  <c r="G85" i="64" s="1"/>
  <c r="N85" i="64" s="1"/>
  <c r="F36" i="63" s="1"/>
  <c r="I36" i="63" s="1"/>
  <c r="I35" i="63" s="1"/>
  <c r="I26" i="69"/>
  <c r="E82" i="74"/>
  <c r="N82" i="74" s="1"/>
  <c r="F34" i="73" s="1"/>
  <c r="F29" i="40" s="1"/>
  <c r="I97" i="38"/>
  <c r="I56" i="64"/>
  <c r="E85" i="62"/>
  <c r="G85" i="62" s="1"/>
  <c r="N85" i="62" s="1"/>
  <c r="F36" i="61" s="1"/>
  <c r="E80" i="70"/>
  <c r="G28" i="70"/>
  <c r="N28" i="70" s="1"/>
  <c r="F9" i="81"/>
  <c r="F9" i="87"/>
  <c r="N75" i="62"/>
  <c r="N74" i="62" s="1"/>
  <c r="F31" i="61" s="1"/>
  <c r="N74" i="68"/>
  <c r="F31" i="67" s="1"/>
  <c r="E80" i="78"/>
  <c r="F27" i="40"/>
  <c r="I43" i="64"/>
  <c r="M43" i="64" s="1"/>
  <c r="N43" i="64" s="1"/>
  <c r="I26" i="65"/>
  <c r="I26" i="71"/>
  <c r="I63" i="76"/>
  <c r="F28" i="40"/>
  <c r="M7" i="66"/>
  <c r="D68" i="66" s="1"/>
  <c r="N68" i="66" s="1"/>
  <c r="N67" i="66" s="1"/>
  <c r="F28" i="65" s="1"/>
  <c r="I26" i="67"/>
  <c r="I18" i="81"/>
  <c r="E85" i="74"/>
  <c r="G85" i="74" s="1"/>
  <c r="N85" i="74" s="1"/>
  <c r="F36" i="73" s="1"/>
  <c r="I36" i="73" s="1"/>
  <c r="I35" i="73" s="1"/>
  <c r="F6" i="87"/>
  <c r="F6" i="81"/>
  <c r="I18" i="87"/>
  <c r="G6" i="81"/>
  <c r="H6" i="81" s="1"/>
  <c r="I6" i="81" s="1"/>
  <c r="G12" i="65"/>
  <c r="H12" i="65" s="1"/>
  <c r="I12" i="65" s="1"/>
  <c r="G17" i="85"/>
  <c r="H17" i="85" s="1"/>
  <c r="I17" i="85" s="1"/>
  <c r="G29" i="83"/>
  <c r="H29" i="83" s="1"/>
  <c r="I29" i="83" s="1"/>
  <c r="G34" i="71"/>
  <c r="H34" i="71" s="1"/>
  <c r="I34" i="71" s="1"/>
  <c r="G32" i="73"/>
  <c r="H32" i="73" s="1"/>
  <c r="I32" i="73" s="1"/>
  <c r="G8" i="83"/>
  <c r="H8" i="83" s="1"/>
  <c r="I8" i="83" s="1"/>
  <c r="G33" i="71"/>
  <c r="H33" i="71" s="1"/>
  <c r="I33" i="71" s="1"/>
  <c r="G9" i="83"/>
  <c r="H9" i="83" s="1"/>
  <c r="I9" i="83" s="1"/>
  <c r="N11" i="38"/>
  <c r="N35" i="38"/>
  <c r="N36" i="38" s="1"/>
  <c r="M46" i="38" s="1"/>
  <c r="P46" i="38" s="1"/>
  <c r="F22" i="40" l="1"/>
  <c r="I22" i="40" s="1"/>
  <c r="I27" i="61"/>
  <c r="N28" i="66"/>
  <c r="F85" i="70"/>
  <c r="G85" i="70" s="1"/>
  <c r="N85" i="70" s="1"/>
  <c r="F36" i="69" s="1"/>
  <c r="I36" i="69" s="1"/>
  <c r="I35" i="69" s="1"/>
  <c r="N76" i="70"/>
  <c r="F8" i="40"/>
  <c r="I8" i="40" s="1"/>
  <c r="I13" i="61"/>
  <c r="M30" i="72"/>
  <c r="N30" i="72" s="1"/>
  <c r="F15" i="71" s="1"/>
  <c r="I15" i="71" s="1"/>
  <c r="F14" i="71"/>
  <c r="I14" i="71" s="1"/>
  <c r="M41" i="68"/>
  <c r="N41" i="68" s="1"/>
  <c r="F20" i="67" s="1"/>
  <c r="I20" i="67" s="1"/>
  <c r="F19" i="67"/>
  <c r="I19" i="67" s="1"/>
  <c r="I57" i="70"/>
  <c r="M57" i="70" s="1"/>
  <c r="N57" i="70" s="1"/>
  <c r="M56" i="70"/>
  <c r="N56" i="70" s="1"/>
  <c r="M41" i="70"/>
  <c r="N41" i="70" s="1"/>
  <c r="F20" i="69" s="1"/>
  <c r="I20" i="69" s="1"/>
  <c r="F19" i="69"/>
  <c r="I19" i="69" s="1"/>
  <c r="F14" i="77"/>
  <c r="I14" i="77" s="1"/>
  <c r="M30" i="78"/>
  <c r="N30" i="78" s="1"/>
  <c r="F15" i="77" s="1"/>
  <c r="I15" i="77" s="1"/>
  <c r="F7" i="40"/>
  <c r="M30" i="62"/>
  <c r="N30" i="62" s="1"/>
  <c r="F15" i="61" s="1"/>
  <c r="F14" i="61"/>
  <c r="F14" i="69"/>
  <c r="I14" i="69" s="1"/>
  <c r="M30" i="70"/>
  <c r="N30" i="70" s="1"/>
  <c r="F15" i="69" s="1"/>
  <c r="I15" i="69" s="1"/>
  <c r="N74" i="70"/>
  <c r="F31" i="69" s="1"/>
  <c r="F26" i="40" s="1"/>
  <c r="I20" i="61"/>
  <c r="N28" i="76"/>
  <c r="I18" i="71"/>
  <c r="M41" i="78"/>
  <c r="N41" i="78" s="1"/>
  <c r="F20" i="77" s="1"/>
  <c r="I20" i="77" s="1"/>
  <c r="F19" i="77"/>
  <c r="I19" i="77" s="1"/>
  <c r="I18" i="77" s="1"/>
  <c r="M30" i="68"/>
  <c r="N30" i="68" s="1"/>
  <c r="F15" i="67" s="1"/>
  <c r="I15" i="67" s="1"/>
  <c r="F14" i="67"/>
  <c r="I14" i="67" s="1"/>
  <c r="F14" i="40"/>
  <c r="I14" i="40" s="1"/>
  <c r="I19" i="61"/>
  <c r="M30" i="74"/>
  <c r="N30" i="74" s="1"/>
  <c r="F15" i="73" s="1"/>
  <c r="I15" i="73" s="1"/>
  <c r="F14" i="73"/>
  <c r="I14" i="73" s="1"/>
  <c r="F31" i="40"/>
  <c r="I31" i="40" s="1"/>
  <c r="I30" i="40" s="1"/>
  <c r="C20" i="93" s="1"/>
  <c r="I36" i="61"/>
  <c r="I35" i="61" s="1"/>
  <c r="I57" i="72"/>
  <c r="M57" i="72" s="1"/>
  <c r="N57" i="72" s="1"/>
  <c r="M56" i="72"/>
  <c r="N56" i="72" s="1"/>
  <c r="F19" i="75"/>
  <c r="I19" i="75" s="1"/>
  <c r="M41" i="76"/>
  <c r="N41" i="76" s="1"/>
  <c r="F20" i="75" s="1"/>
  <c r="I20" i="75" s="1"/>
  <c r="I57" i="64"/>
  <c r="M57" i="64" s="1"/>
  <c r="N57" i="64" s="1"/>
  <c r="M56" i="64"/>
  <c r="N56" i="64" s="1"/>
  <c r="F16" i="40"/>
  <c r="I16" i="40" s="1"/>
  <c r="M47" i="64"/>
  <c r="N47" i="64" s="1"/>
  <c r="F23" i="63" s="1"/>
  <c r="I23" i="63" s="1"/>
  <c r="M45" i="64"/>
  <c r="N45" i="64" s="1"/>
  <c r="F22" i="63" s="1"/>
  <c r="I22" i="63" s="1"/>
  <c r="F21" i="63"/>
  <c r="I21" i="63" s="1"/>
  <c r="I18" i="63" s="1"/>
  <c r="F14" i="63"/>
  <c r="I14" i="63" s="1"/>
  <c r="M30" i="64"/>
  <c r="N30" i="64" s="1"/>
  <c r="F15" i="63" s="1"/>
  <c r="I15" i="63" s="1"/>
  <c r="I98" i="38"/>
  <c r="O97" i="38"/>
  <c r="N97" i="38"/>
  <c r="N160" i="38"/>
  <c r="N101" i="38"/>
  <c r="I18" i="73"/>
  <c r="I18" i="65"/>
  <c r="M63" i="76"/>
  <c r="N63" i="76" s="1"/>
  <c r="N60" i="76" s="1"/>
  <c r="F27" i="75" s="1"/>
  <c r="I27" i="75" s="1"/>
  <c r="I64" i="76"/>
  <c r="M64" i="76" s="1"/>
  <c r="N64" i="76" s="1"/>
  <c r="M47" i="39"/>
  <c r="N47" i="39" s="1"/>
  <c r="M45" i="39"/>
  <c r="N45" i="39" s="1"/>
  <c r="F18" i="40"/>
  <c r="I18" i="40" s="1"/>
  <c r="G6" i="79"/>
  <c r="H6" i="79" s="1"/>
  <c r="I6" i="79" s="1"/>
  <c r="G29" i="85"/>
  <c r="H29" i="85" s="1"/>
  <c r="I29" i="85" s="1"/>
  <c r="G8" i="75"/>
  <c r="H8" i="75" s="1"/>
  <c r="I8" i="75" s="1"/>
  <c r="G8" i="85"/>
  <c r="H8" i="85" s="1"/>
  <c r="I8" i="85" s="1"/>
  <c r="G7" i="40"/>
  <c r="H7" i="40" s="1"/>
  <c r="I7" i="40" s="1"/>
  <c r="G12" i="77"/>
  <c r="H12" i="77" s="1"/>
  <c r="I12" i="77" s="1"/>
  <c r="G8" i="69"/>
  <c r="H8" i="69" s="1"/>
  <c r="I8" i="69" s="1"/>
  <c r="G17" i="87"/>
  <c r="H17" i="87" s="1"/>
  <c r="I17" i="87" s="1"/>
  <c r="G8" i="79"/>
  <c r="H8" i="79" s="1"/>
  <c r="I8" i="79" s="1"/>
  <c r="G9" i="71"/>
  <c r="H9" i="71" s="1"/>
  <c r="I9" i="71" s="1"/>
  <c r="G12" i="81"/>
  <c r="H12" i="81" s="1"/>
  <c r="I12" i="81" s="1"/>
  <c r="G29" i="65"/>
  <c r="H29" i="65" s="1"/>
  <c r="I29" i="65" s="1"/>
  <c r="G12" i="71"/>
  <c r="H12" i="71" s="1"/>
  <c r="I12" i="71" s="1"/>
  <c r="G12" i="69"/>
  <c r="H12" i="69" s="1"/>
  <c r="I12" i="69" s="1"/>
  <c r="G12" i="75"/>
  <c r="H12" i="75" s="1"/>
  <c r="I12" i="75" s="1"/>
  <c r="G29" i="67"/>
  <c r="H29" i="67" s="1"/>
  <c r="I29" i="67" s="1"/>
  <c r="G12" i="87"/>
  <c r="H12" i="87" s="1"/>
  <c r="I12" i="87" s="1"/>
  <c r="G29" i="81"/>
  <c r="H29" i="81" s="1"/>
  <c r="I29" i="81" s="1"/>
  <c r="G34" i="77"/>
  <c r="H34" i="77" s="1"/>
  <c r="I34" i="77" s="1"/>
  <c r="G34" i="61"/>
  <c r="H34" i="61" s="1"/>
  <c r="I34" i="61" s="1"/>
  <c r="G24" i="40"/>
  <c r="H24" i="40" s="1"/>
  <c r="I24" i="40" s="1"/>
  <c r="G34" i="67"/>
  <c r="H34" i="67" s="1"/>
  <c r="I34" i="67" s="1"/>
  <c r="G29" i="87"/>
  <c r="H29" i="87" s="1"/>
  <c r="I29" i="87" s="1"/>
  <c r="G34" i="73"/>
  <c r="H34" i="73" s="1"/>
  <c r="I34" i="73" s="1"/>
  <c r="G29" i="61"/>
  <c r="H29" i="61" s="1"/>
  <c r="I29" i="61" s="1"/>
  <c r="G34" i="69"/>
  <c r="H34" i="69" s="1"/>
  <c r="I34" i="69" s="1"/>
  <c r="G29" i="75"/>
  <c r="H29" i="75" s="1"/>
  <c r="I29" i="75" s="1"/>
  <c r="G29" i="71"/>
  <c r="H29" i="71" s="1"/>
  <c r="I29" i="71" s="1"/>
  <c r="G29" i="69"/>
  <c r="H29" i="69" s="1"/>
  <c r="I29" i="69" s="1"/>
  <c r="G29" i="77"/>
  <c r="H29" i="77" s="1"/>
  <c r="I29" i="77" s="1"/>
  <c r="G29" i="73"/>
  <c r="H29" i="73" s="1"/>
  <c r="I29" i="73" s="1"/>
  <c r="G29" i="63"/>
  <c r="H29" i="63" s="1"/>
  <c r="I29" i="63" s="1"/>
  <c r="G6" i="67"/>
  <c r="H6" i="67" s="1"/>
  <c r="I6" i="67" s="1"/>
  <c r="G6" i="69"/>
  <c r="H6" i="69" s="1"/>
  <c r="I6" i="69" s="1"/>
  <c r="G32" i="69"/>
  <c r="H32" i="69" s="1"/>
  <c r="I32" i="69" s="1"/>
  <c r="G34" i="83"/>
  <c r="H34" i="83" s="1"/>
  <c r="I34" i="83" s="1"/>
  <c r="G34" i="85"/>
  <c r="H34" i="85" s="1"/>
  <c r="I34" i="85" s="1"/>
  <c r="G6" i="85"/>
  <c r="H6" i="85" s="1"/>
  <c r="I6" i="85" s="1"/>
  <c r="G34" i="81"/>
  <c r="H34" i="81" s="1"/>
  <c r="I34" i="81" s="1"/>
  <c r="G6" i="73"/>
  <c r="H6" i="73" s="1"/>
  <c r="I6" i="73" s="1"/>
  <c r="G6" i="83"/>
  <c r="H6" i="83" s="1"/>
  <c r="I6" i="83" s="1"/>
  <c r="I5" i="83" s="1"/>
  <c r="G34" i="63"/>
  <c r="H34" i="63" s="1"/>
  <c r="I34" i="63" s="1"/>
  <c r="G6" i="87"/>
  <c r="H6" i="87" s="1"/>
  <c r="I6" i="87" s="1"/>
  <c r="G34" i="65"/>
  <c r="H34" i="65" s="1"/>
  <c r="I34" i="65" s="1"/>
  <c r="G32" i="65"/>
  <c r="H32" i="65" s="1"/>
  <c r="I32" i="65" s="1"/>
  <c r="G27" i="40"/>
  <c r="H27" i="40" s="1"/>
  <c r="I27" i="40" s="1"/>
  <c r="G32" i="83"/>
  <c r="H32" i="83" s="1"/>
  <c r="I32" i="83" s="1"/>
  <c r="G6" i="75"/>
  <c r="H6" i="75" s="1"/>
  <c r="I6" i="75" s="1"/>
  <c r="G32" i="63"/>
  <c r="H32" i="63" s="1"/>
  <c r="I32" i="63" s="1"/>
  <c r="G32" i="85"/>
  <c r="H32" i="85" s="1"/>
  <c r="I32" i="85" s="1"/>
  <c r="G6" i="65"/>
  <c r="H6" i="65" s="1"/>
  <c r="I6" i="65" s="1"/>
  <c r="G6" i="77"/>
  <c r="H6" i="77" s="1"/>
  <c r="I6" i="77" s="1"/>
  <c r="G6" i="61"/>
  <c r="H6" i="61" s="1"/>
  <c r="I6" i="61" s="1"/>
  <c r="G6" i="71"/>
  <c r="H6" i="71" s="1"/>
  <c r="I6" i="71" s="1"/>
  <c r="G17" i="69"/>
  <c r="H17" i="69" s="1"/>
  <c r="I17" i="69" s="1"/>
  <c r="G6" i="63"/>
  <c r="H6" i="63" s="1"/>
  <c r="I6" i="63" s="1"/>
  <c r="G32" i="61"/>
  <c r="H32" i="61" s="1"/>
  <c r="I32" i="61" s="1"/>
  <c r="G8" i="63"/>
  <c r="H8" i="63" s="1"/>
  <c r="I8" i="63" s="1"/>
  <c r="G17" i="65"/>
  <c r="H17" i="65" s="1"/>
  <c r="I17" i="65" s="1"/>
  <c r="G12" i="63"/>
  <c r="H12" i="63" s="1"/>
  <c r="I12" i="63" s="1"/>
  <c r="G12" i="83"/>
  <c r="H12" i="83" s="1"/>
  <c r="I12" i="83" s="1"/>
  <c r="G8" i="61"/>
  <c r="H8" i="61" s="1"/>
  <c r="I8" i="61" s="1"/>
  <c r="G32" i="67"/>
  <c r="H32" i="67" s="1"/>
  <c r="I32" i="67" s="1"/>
  <c r="G32" i="77"/>
  <c r="H32" i="77" s="1"/>
  <c r="I32" i="77" s="1"/>
  <c r="G17" i="73"/>
  <c r="H17" i="73" s="1"/>
  <c r="I17" i="73" s="1"/>
  <c r="G12" i="67"/>
  <c r="H12" i="67" s="1"/>
  <c r="I12" i="67" s="1"/>
  <c r="G12" i="85"/>
  <c r="H12" i="85" s="1"/>
  <c r="I12" i="85" s="1"/>
  <c r="I11" i="85" s="1"/>
  <c r="G8" i="67"/>
  <c r="H8" i="67" s="1"/>
  <c r="I8" i="67" s="1"/>
  <c r="G8" i="65"/>
  <c r="H8" i="65" s="1"/>
  <c r="I8" i="65" s="1"/>
  <c r="G32" i="75"/>
  <c r="H32" i="75" s="1"/>
  <c r="I32" i="75" s="1"/>
  <c r="G32" i="81"/>
  <c r="H32" i="81" s="1"/>
  <c r="I32" i="81" s="1"/>
  <c r="G34" i="75"/>
  <c r="H34" i="75" s="1"/>
  <c r="I34" i="75" s="1"/>
  <c r="G34" i="87"/>
  <c r="H34" i="87" s="1"/>
  <c r="I34" i="87" s="1"/>
  <c r="G17" i="75"/>
  <c r="H17" i="75" s="1"/>
  <c r="I17" i="75" s="1"/>
  <c r="G17" i="61"/>
  <c r="H17" i="61" s="1"/>
  <c r="I17" i="61" s="1"/>
  <c r="G12" i="40"/>
  <c r="H12" i="40" s="1"/>
  <c r="I12" i="40" s="1"/>
  <c r="G17" i="71"/>
  <c r="H17" i="71" s="1"/>
  <c r="I17" i="71" s="1"/>
  <c r="I11" i="71" s="1"/>
  <c r="G8" i="77"/>
  <c r="H8" i="77" s="1"/>
  <c r="I8" i="77" s="1"/>
  <c r="G8" i="87"/>
  <c r="H8" i="87" s="1"/>
  <c r="I8" i="87" s="1"/>
  <c r="G17" i="67"/>
  <c r="H17" i="67" s="1"/>
  <c r="I17" i="67" s="1"/>
  <c r="G17" i="81"/>
  <c r="H17" i="81" s="1"/>
  <c r="I17" i="81" s="1"/>
  <c r="G12" i="73"/>
  <c r="H12" i="73" s="1"/>
  <c r="I12" i="73" s="1"/>
  <c r="G8" i="73"/>
  <c r="H8" i="73" s="1"/>
  <c r="I8" i="73" s="1"/>
  <c r="G8" i="81"/>
  <c r="H8" i="81" s="1"/>
  <c r="I8" i="81" s="1"/>
  <c r="G32" i="71"/>
  <c r="H32" i="71" s="1"/>
  <c r="I32" i="71" s="1"/>
  <c r="G32" i="87"/>
  <c r="H32" i="87" s="1"/>
  <c r="I32" i="87" s="1"/>
  <c r="G17" i="77"/>
  <c r="H17" i="77" s="1"/>
  <c r="I17" i="77" s="1"/>
  <c r="G17" i="83"/>
  <c r="H17" i="83" s="1"/>
  <c r="I17" i="83" s="1"/>
  <c r="G12" i="61"/>
  <c r="H12" i="61" s="1"/>
  <c r="I12" i="61" s="1"/>
  <c r="G8" i="71"/>
  <c r="H8" i="71" s="1"/>
  <c r="I8" i="71" s="1"/>
  <c r="G29" i="40"/>
  <c r="H29" i="40" s="1"/>
  <c r="I29" i="40" s="1"/>
  <c r="G17" i="63"/>
  <c r="H17" i="63" s="1"/>
  <c r="I17" i="63" s="1"/>
  <c r="G9" i="67"/>
  <c r="H9" i="67" s="1"/>
  <c r="I9" i="67" s="1"/>
  <c r="G33" i="65"/>
  <c r="H33" i="65" s="1"/>
  <c r="I33" i="65" s="1"/>
  <c r="G33" i="73"/>
  <c r="H33" i="73" s="1"/>
  <c r="I33" i="73" s="1"/>
  <c r="G33" i="63"/>
  <c r="H33" i="63" s="1"/>
  <c r="I33" i="63" s="1"/>
  <c r="G33" i="75"/>
  <c r="H33" i="75" s="1"/>
  <c r="I33" i="75" s="1"/>
  <c r="G33" i="87"/>
  <c r="H33" i="87" s="1"/>
  <c r="I33" i="87" s="1"/>
  <c r="G33" i="83"/>
  <c r="H33" i="83" s="1"/>
  <c r="I33" i="83" s="1"/>
  <c r="G33" i="67"/>
  <c r="H33" i="67" s="1"/>
  <c r="I33" i="67" s="1"/>
  <c r="G33" i="85"/>
  <c r="H33" i="85" s="1"/>
  <c r="I33" i="85" s="1"/>
  <c r="G33" i="61"/>
  <c r="H33" i="61" s="1"/>
  <c r="I33" i="61" s="1"/>
  <c r="G33" i="81"/>
  <c r="H33" i="81" s="1"/>
  <c r="I33" i="81" s="1"/>
  <c r="G33" i="77"/>
  <c r="H33" i="77" s="1"/>
  <c r="I33" i="77" s="1"/>
  <c r="G33" i="69"/>
  <c r="H33" i="69" s="1"/>
  <c r="I33" i="69" s="1"/>
  <c r="G28" i="40"/>
  <c r="H28" i="40" s="1"/>
  <c r="I28" i="40" s="1"/>
  <c r="G9" i="61"/>
  <c r="H9" i="61" s="1"/>
  <c r="I9" i="61" s="1"/>
  <c r="G9" i="85"/>
  <c r="H9" i="85" s="1"/>
  <c r="I9" i="85" s="1"/>
  <c r="G9" i="77"/>
  <c r="H9" i="77" s="1"/>
  <c r="I9" i="77" s="1"/>
  <c r="G9" i="65"/>
  <c r="H9" i="65" s="1"/>
  <c r="I9" i="65" s="1"/>
  <c r="G9" i="73"/>
  <c r="H9" i="73" s="1"/>
  <c r="I9" i="73" s="1"/>
  <c r="G9" i="63"/>
  <c r="H9" i="63" s="1"/>
  <c r="I9" i="63" s="1"/>
  <c r="G9" i="79"/>
  <c r="H9" i="79" s="1"/>
  <c r="I9" i="79" s="1"/>
  <c r="G9" i="81"/>
  <c r="H9" i="81" s="1"/>
  <c r="I9" i="81" s="1"/>
  <c r="G9" i="69"/>
  <c r="H9" i="69" s="1"/>
  <c r="I9" i="69" s="1"/>
  <c r="G9" i="87"/>
  <c r="H9" i="87" s="1"/>
  <c r="I9" i="87" s="1"/>
  <c r="G9" i="75"/>
  <c r="H9" i="75" s="1"/>
  <c r="I9" i="75" s="1"/>
  <c r="G25" i="67"/>
  <c r="H25" i="67" s="1"/>
  <c r="I25" i="67" s="1"/>
  <c r="G25" i="81"/>
  <c r="H25" i="81" s="1"/>
  <c r="I25" i="81" s="1"/>
  <c r="G25" i="87"/>
  <c r="H25" i="87" s="1"/>
  <c r="I25" i="87" s="1"/>
  <c r="G25" i="83"/>
  <c r="H25" i="83" s="1"/>
  <c r="I25" i="83" s="1"/>
  <c r="G25" i="85"/>
  <c r="H25" i="85" s="1"/>
  <c r="I25" i="85" s="1"/>
  <c r="G25" i="71"/>
  <c r="H25" i="71" s="1"/>
  <c r="I25" i="71" s="1"/>
  <c r="G25" i="65"/>
  <c r="H25" i="65" s="1"/>
  <c r="I25" i="65" s="1"/>
  <c r="G25" i="75"/>
  <c r="H25" i="75" s="1"/>
  <c r="I25" i="75" s="1"/>
  <c r="G28" i="65"/>
  <c r="H28" i="65" s="1"/>
  <c r="I28" i="65" s="1"/>
  <c r="G28" i="85"/>
  <c r="H28" i="85" s="1"/>
  <c r="I28" i="85" s="1"/>
  <c r="G28" i="81"/>
  <c r="H28" i="81" s="1"/>
  <c r="I28" i="81" s="1"/>
  <c r="G28" i="87"/>
  <c r="H28" i="87" s="1"/>
  <c r="I28" i="87" s="1"/>
  <c r="G28" i="83"/>
  <c r="H28" i="83" s="1"/>
  <c r="I28" i="83" s="1"/>
  <c r="I24" i="83" s="1"/>
  <c r="G31" i="85"/>
  <c r="H31" i="85" s="1"/>
  <c r="I31" i="85" s="1"/>
  <c r="G31" i="87"/>
  <c r="H31" i="87" s="1"/>
  <c r="I31" i="87" s="1"/>
  <c r="G31" i="81"/>
  <c r="H31" i="81" s="1"/>
  <c r="I31" i="81" s="1"/>
  <c r="G31" i="83"/>
  <c r="H31" i="83" s="1"/>
  <c r="I31" i="83" s="1"/>
  <c r="G31" i="63"/>
  <c r="H31" i="63" s="1"/>
  <c r="I31" i="63" s="1"/>
  <c r="G31" i="77"/>
  <c r="H31" i="77" s="1"/>
  <c r="I31" i="77" s="1"/>
  <c r="G31" i="71"/>
  <c r="H31" i="71" s="1"/>
  <c r="I31" i="71" s="1"/>
  <c r="G31" i="67"/>
  <c r="H31" i="67" s="1"/>
  <c r="I31" i="67" s="1"/>
  <c r="G31" i="65"/>
  <c r="H31" i="65" s="1"/>
  <c r="I31" i="65" s="1"/>
  <c r="G31" i="61"/>
  <c r="H31" i="61" s="1"/>
  <c r="I31" i="61" s="1"/>
  <c r="G31" i="75"/>
  <c r="H31" i="75" s="1"/>
  <c r="I31" i="75" s="1"/>
  <c r="G31" i="73"/>
  <c r="H31" i="73" s="1"/>
  <c r="I31" i="73" s="1"/>
  <c r="G31" i="69"/>
  <c r="H31" i="69" s="1"/>
  <c r="I31" i="69" s="1"/>
  <c r="G26" i="40"/>
  <c r="G25" i="77"/>
  <c r="H25" i="77" s="1"/>
  <c r="I25" i="77" s="1"/>
  <c r="G25" i="73"/>
  <c r="H25" i="73" s="1"/>
  <c r="I25" i="73" s="1"/>
  <c r="G25" i="61"/>
  <c r="H25" i="61" s="1"/>
  <c r="I25" i="61" s="1"/>
  <c r="G25" i="69"/>
  <c r="H25" i="69" s="1"/>
  <c r="I25" i="69" s="1"/>
  <c r="G25" i="63"/>
  <c r="H25" i="63" s="1"/>
  <c r="I25" i="63" s="1"/>
  <c r="G20" i="40"/>
  <c r="H20" i="40" s="1"/>
  <c r="I20" i="40" s="1"/>
  <c r="G28" i="71"/>
  <c r="H28" i="71" s="1"/>
  <c r="I28" i="71" s="1"/>
  <c r="G23" i="40"/>
  <c r="H23" i="40" s="1"/>
  <c r="I23" i="40" s="1"/>
  <c r="G28" i="75"/>
  <c r="H28" i="75" s="1"/>
  <c r="I28" i="75" s="1"/>
  <c r="G28" i="69"/>
  <c r="H28" i="69" s="1"/>
  <c r="I28" i="69" s="1"/>
  <c r="G28" i="73"/>
  <c r="H28" i="73" s="1"/>
  <c r="I28" i="73" s="1"/>
  <c r="G28" i="63"/>
  <c r="H28" i="63" s="1"/>
  <c r="I28" i="63" s="1"/>
  <c r="G28" i="61"/>
  <c r="H28" i="61" s="1"/>
  <c r="I28" i="61" s="1"/>
  <c r="G28" i="67"/>
  <c r="H28" i="67" s="1"/>
  <c r="I28" i="67" s="1"/>
  <c r="G28" i="77"/>
  <c r="H28" i="77" s="1"/>
  <c r="I28" i="77" s="1"/>
  <c r="I18" i="67" l="1"/>
  <c r="M30" i="76"/>
  <c r="N30" i="76" s="1"/>
  <c r="F15" i="75" s="1"/>
  <c r="I15" i="75" s="1"/>
  <c r="F14" i="75"/>
  <c r="I14" i="75" s="1"/>
  <c r="I18" i="75"/>
  <c r="F15" i="40"/>
  <c r="I15" i="40" s="1"/>
  <c r="F17" i="40"/>
  <c r="I17" i="40" s="1"/>
  <c r="G20" i="93"/>
  <c r="I20" i="93"/>
  <c r="F20" i="93"/>
  <c r="L20" i="93"/>
  <c r="J20" i="93"/>
  <c r="H20" i="93"/>
  <c r="M20" i="93"/>
  <c r="D20" i="93"/>
  <c r="K20" i="93"/>
  <c r="E20" i="93"/>
  <c r="F9" i="40"/>
  <c r="I9" i="40" s="1"/>
  <c r="I6" i="40" s="1"/>
  <c r="C12" i="93" s="1"/>
  <c r="I14" i="61"/>
  <c r="F10" i="40"/>
  <c r="I10" i="40" s="1"/>
  <c r="I15" i="61"/>
  <c r="O98" i="38"/>
  <c r="N98" i="38"/>
  <c r="N91" i="38" s="1"/>
  <c r="M30" i="66"/>
  <c r="N30" i="66" s="1"/>
  <c r="F15" i="65" s="1"/>
  <c r="I15" i="65" s="1"/>
  <c r="F14" i="65"/>
  <c r="I14" i="65" s="1"/>
  <c r="I11" i="65" s="1"/>
  <c r="I18" i="61"/>
  <c r="I13" i="40"/>
  <c r="C14" i="93" s="1"/>
  <c r="I18" i="69"/>
  <c r="I24" i="85"/>
  <c r="I19" i="40"/>
  <c r="C16" i="93" s="1"/>
  <c r="I11" i="77"/>
  <c r="I5" i="79"/>
  <c r="I11" i="87"/>
  <c r="I24" i="77"/>
  <c r="I5" i="69"/>
  <c r="I5" i="85"/>
  <c r="I24" i="67"/>
  <c r="I5" i="75"/>
  <c r="I30" i="63"/>
  <c r="I24" i="61"/>
  <c r="I24" i="75"/>
  <c r="I24" i="87"/>
  <c r="I11" i="75"/>
  <c r="I24" i="73"/>
  <c r="I24" i="81"/>
  <c r="I11" i="81"/>
  <c r="I24" i="71"/>
  <c r="I24" i="65"/>
  <c r="I11" i="69"/>
  <c r="I5" i="77"/>
  <c r="I24" i="63"/>
  <c r="I24" i="69"/>
  <c r="I30" i="71"/>
  <c r="I11" i="67"/>
  <c r="I5" i="67"/>
  <c r="I5" i="87"/>
  <c r="I11" i="73"/>
  <c r="I11" i="61"/>
  <c r="I11" i="83"/>
  <c r="I5" i="71"/>
  <c r="I11" i="63"/>
  <c r="I30" i="75"/>
  <c r="I5" i="61"/>
  <c r="I5" i="65"/>
  <c r="I5" i="81"/>
  <c r="I30" i="67"/>
  <c r="I30" i="73"/>
  <c r="I30" i="83"/>
  <c r="I30" i="65"/>
  <c r="I5" i="63"/>
  <c r="I5" i="73"/>
  <c r="I30" i="61"/>
  <c r="I30" i="69"/>
  <c r="I30" i="77"/>
  <c r="I30" i="81"/>
  <c r="I30" i="87"/>
  <c r="I30" i="85"/>
  <c r="H26" i="40"/>
  <c r="I26" i="40" s="1"/>
  <c r="I25" i="40" s="1"/>
  <c r="C18" i="93" s="1"/>
  <c r="H14" i="93" l="1"/>
  <c r="D14" i="93"/>
  <c r="J14" i="93"/>
  <c r="I14" i="93"/>
  <c r="G14" i="93"/>
  <c r="M14" i="93"/>
  <c r="E14" i="93"/>
  <c r="L14" i="93"/>
  <c r="F14" i="93"/>
  <c r="K14" i="93"/>
  <c r="E16" i="93"/>
  <c r="K16" i="93"/>
  <c r="J16" i="93"/>
  <c r="D16" i="93"/>
  <c r="G16" i="93"/>
  <c r="F16" i="93"/>
  <c r="H16" i="93"/>
  <c r="L16" i="93"/>
  <c r="M16" i="93"/>
  <c r="I16" i="93"/>
  <c r="E12" i="93"/>
  <c r="L12" i="93"/>
  <c r="I12" i="93"/>
  <c r="M12" i="93"/>
  <c r="K12" i="93"/>
  <c r="H12" i="93"/>
  <c r="D12" i="93"/>
  <c r="J12" i="93"/>
  <c r="G12" i="93"/>
  <c r="F12" i="93"/>
  <c r="I11" i="79"/>
  <c r="C8" i="93"/>
  <c r="F18" i="93"/>
  <c r="D18" i="93"/>
  <c r="L18" i="93"/>
  <c r="K18" i="93"/>
  <c r="H18" i="93"/>
  <c r="G18" i="93"/>
  <c r="M18" i="93"/>
  <c r="I18" i="93"/>
  <c r="E18" i="93"/>
  <c r="J18" i="93"/>
  <c r="I10" i="85"/>
  <c r="K10" i="85" s="1"/>
  <c r="I39" i="77"/>
  <c r="J5" i="60"/>
  <c r="I10" i="87"/>
  <c r="K10" i="87" s="1"/>
  <c r="I10" i="63"/>
  <c r="K10" i="63" s="1"/>
  <c r="I10" i="71"/>
  <c r="K10" i="71" s="1"/>
  <c r="I10" i="75"/>
  <c r="K10" i="75" s="1"/>
  <c r="I10" i="65"/>
  <c r="K10" i="65" s="1"/>
  <c r="I39" i="67"/>
  <c r="I10" i="61"/>
  <c r="K10" i="61" s="1"/>
  <c r="I10" i="81"/>
  <c r="K10" i="81" s="1"/>
  <c r="I39" i="69"/>
  <c r="I39" i="71"/>
  <c r="I39" i="63"/>
  <c r="I10" i="73"/>
  <c r="K10" i="73" s="1"/>
  <c r="I39" i="73"/>
  <c r="I39" i="61"/>
  <c r="I10" i="67"/>
  <c r="K10" i="67" s="1"/>
  <c r="I39" i="83"/>
  <c r="I39" i="75"/>
  <c r="I39" i="87"/>
  <c r="I10" i="83"/>
  <c r="K10" i="83" s="1"/>
  <c r="I10" i="77"/>
  <c r="K10" i="77" s="1"/>
  <c r="I10" i="69"/>
  <c r="K10" i="69" s="1"/>
  <c r="I39" i="65"/>
  <c r="I39" i="85"/>
  <c r="I39" i="81"/>
  <c r="I60" i="40"/>
  <c r="I5" i="40"/>
  <c r="K5" i="40" s="1"/>
  <c r="I10" i="93" l="1"/>
  <c r="F10" i="93"/>
  <c r="L10" i="93"/>
  <c r="J10" i="93"/>
  <c r="H10" i="93"/>
  <c r="D10" i="93"/>
  <c r="K10" i="93"/>
  <c r="F8" i="93"/>
  <c r="L8" i="93"/>
  <c r="M8" i="93"/>
  <c r="E8" i="93"/>
  <c r="J8" i="93"/>
  <c r="D8" i="93"/>
  <c r="G8" i="93"/>
  <c r="K8" i="93"/>
  <c r="H8" i="93"/>
  <c r="I8" i="93"/>
  <c r="M10" i="93"/>
  <c r="G10" i="93"/>
  <c r="E10" i="93"/>
  <c r="J6" i="60"/>
  <c r="J21" i="60" s="1"/>
  <c r="K13" i="60" s="1"/>
  <c r="H6" i="93" l="1"/>
  <c r="H35" i="93"/>
  <c r="F6" i="93"/>
  <c r="F35" i="93"/>
  <c r="K6" i="93"/>
  <c r="K35" i="93"/>
  <c r="G6" i="93"/>
  <c r="G35" i="93"/>
  <c r="C10" i="93"/>
  <c r="D6" i="93"/>
  <c r="D35" i="93"/>
  <c r="J6" i="93"/>
  <c r="J35" i="93"/>
  <c r="E6" i="93"/>
  <c r="E35" i="93"/>
  <c r="M6" i="93"/>
  <c r="M35" i="93"/>
  <c r="I6" i="93"/>
  <c r="I35" i="93"/>
  <c r="L6" i="93"/>
  <c r="L35" i="93"/>
  <c r="K9" i="60"/>
  <c r="K5" i="60"/>
  <c r="K17" i="60"/>
  <c r="K12" i="60"/>
  <c r="K7" i="60"/>
  <c r="K15" i="60"/>
  <c r="K19" i="60"/>
  <c r="J8" i="79"/>
  <c r="K8" i="60"/>
  <c r="K16" i="60"/>
  <c r="K14" i="60"/>
  <c r="J7" i="79"/>
  <c r="J9" i="79"/>
  <c r="K18" i="60"/>
  <c r="K11" i="60"/>
  <c r="K6" i="60"/>
  <c r="J6" i="79"/>
  <c r="K10" i="60"/>
  <c r="D37" i="93" l="1"/>
  <c r="E37" i="93" s="1"/>
  <c r="F37" i="93" s="1"/>
  <c r="G37" i="93" s="1"/>
  <c r="H37" i="93" s="1"/>
  <c r="I37" i="93" s="1"/>
  <c r="J37" i="93" s="1"/>
  <c r="K37" i="93" s="1"/>
  <c r="L37" i="93" s="1"/>
  <c r="M37" i="93" s="1"/>
  <c r="C6" i="93"/>
  <c r="C33" i="93" s="1"/>
  <c r="D21" i="93" l="1"/>
  <c r="H21" i="93"/>
  <c r="K21" i="93"/>
  <c r="I21" i="93"/>
  <c r="G21" i="93"/>
  <c r="J21" i="93"/>
  <c r="M21" i="93"/>
  <c r="E21" i="93"/>
  <c r="F21" i="93"/>
  <c r="L21" i="93"/>
  <c r="I9" i="93"/>
  <c r="J9" i="93"/>
  <c r="F9" i="93"/>
  <c r="L9" i="93"/>
  <c r="E9" i="93"/>
  <c r="H9" i="93"/>
  <c r="D9" i="93"/>
  <c r="G9" i="93"/>
  <c r="M9" i="93"/>
  <c r="K9" i="93"/>
  <c r="H5" i="93"/>
  <c r="D5" i="93"/>
  <c r="I34" i="93"/>
  <c r="M34" i="93"/>
  <c r="K34" i="93"/>
  <c r="H34" i="93"/>
  <c r="J5" i="93"/>
  <c r="E34" i="93"/>
  <c r="K5" i="93"/>
  <c r="L5" i="93"/>
  <c r="F34" i="93"/>
  <c r="D34" i="93"/>
  <c r="D36" i="93" s="1"/>
  <c r="L34" i="93"/>
  <c r="J34" i="93"/>
  <c r="G5" i="93"/>
  <c r="E5" i="93"/>
  <c r="G34" i="93"/>
  <c r="M5" i="93"/>
  <c r="F5" i="93"/>
  <c r="I5" i="93"/>
  <c r="C5" i="93" l="1"/>
  <c r="E36" i="93"/>
  <c r="F36" i="93" s="1"/>
  <c r="G36" i="93" s="1"/>
  <c r="H36" i="93" s="1"/>
  <c r="I36" i="93" s="1"/>
  <c r="J36" i="93" s="1"/>
  <c r="K36" i="93" s="1"/>
  <c r="L36" i="93" s="1"/>
  <c r="M36" i="93" s="1"/>
  <c r="C21" i="93"/>
  <c r="C9" i="9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28" authorId="0" shapeId="0" xr:uid="{00000000-0006-0000-23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CONFIRMAR IN LOCO</t>
        </r>
      </text>
    </comment>
    <comment ref="B29" authorId="0" shapeId="0" xr:uid="{00000000-0006-0000-2300-000002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EM FORMA DE X</t>
        </r>
      </text>
    </comment>
  </commentList>
</comments>
</file>

<file path=xl/sharedStrings.xml><?xml version="1.0" encoding="utf-8"?>
<sst xmlns="http://schemas.openxmlformats.org/spreadsheetml/2006/main" count="8414" uniqueCount="1109">
  <si>
    <t>OBRA: CONSTRUÇÃO DE PONTE EM CONCRETO E TRILHOS</t>
  </si>
  <si>
    <t>BDI: 25%</t>
  </si>
  <si>
    <t>PLANILHA ORÇAMENTÁRIA</t>
  </si>
  <si>
    <t>ITEM</t>
  </si>
  <si>
    <t>BANCO</t>
  </si>
  <si>
    <t>CODIGO</t>
  </si>
  <si>
    <t>DESCRIÇÃO</t>
  </si>
  <si>
    <t>QUANT.</t>
  </si>
  <si>
    <t>PREÇO UNIT. S/ BDI</t>
  </si>
  <si>
    <t>PREÇO UNIT. C/ BDI</t>
  </si>
  <si>
    <t>TOTAL</t>
  </si>
  <si>
    <t>UNID.</t>
  </si>
  <si>
    <t>1.1</t>
  </si>
  <si>
    <t>TABULEIRO</t>
  </si>
  <si>
    <t>M2204</t>
  </si>
  <si>
    <t>SICRO3</t>
  </si>
  <si>
    <t>T</t>
  </si>
  <si>
    <t>1.2</t>
  </si>
  <si>
    <t>1.4</t>
  </si>
  <si>
    <t>SERVIÇOS PRELIMINARES</t>
  </si>
  <si>
    <t>M²</t>
  </si>
  <si>
    <t>Barracão aberto para apoio à produção (carpintaria, central de armação, oficina, etc.) c/ tesouras, telha 4mm, piso em concreto desempolado</t>
  </si>
  <si>
    <t>UND</t>
  </si>
  <si>
    <t>SINAPI</t>
  </si>
  <si>
    <t>3.1</t>
  </si>
  <si>
    <t>SEINFRA</t>
  </si>
  <si>
    <t>2.1</t>
  </si>
  <si>
    <t>Assentamento manual de trilhos TR 68, barra de 12 m</t>
  </si>
  <si>
    <t>m</t>
  </si>
  <si>
    <t>Limpeza geral</t>
  </si>
  <si>
    <t>C1628</t>
  </si>
  <si>
    <t>SERVIÇOS FINAIS</t>
  </si>
  <si>
    <t>MEMÓRIA DE CÁLCULO</t>
  </si>
  <si>
    <t>Tabuleiro</t>
  </si>
  <si>
    <t>PÇ</t>
  </si>
  <si>
    <t>METROS</t>
  </si>
  <si>
    <t>1pç de 12m</t>
  </si>
  <si>
    <t>Total Pç de 12M</t>
  </si>
  <si>
    <t>Trilho</t>
  </si>
  <si>
    <t xml:space="preserve">Total </t>
  </si>
  <si>
    <t>Transversinas</t>
  </si>
  <si>
    <t>2X5=10 igual a uma Pç sobra 2m</t>
  </si>
  <si>
    <t>6/2=3 Pç de 12m</t>
  </si>
  <si>
    <t>4.1</t>
  </si>
  <si>
    <t>4.2</t>
  </si>
  <si>
    <t>5.1</t>
  </si>
  <si>
    <t>COMPRIM.</t>
  </si>
  <si>
    <t>LARG.</t>
  </si>
  <si>
    <t>ALTURA</t>
  </si>
  <si>
    <t>SUPERESTRUTURA</t>
  </si>
  <si>
    <t>PESO DE 1 TRILHO</t>
  </si>
  <si>
    <t>67,56 KG/M</t>
  </si>
  <si>
    <t>PEÇAS 12M</t>
  </si>
  <si>
    <t>METROS EM PEÇA</t>
  </si>
  <si>
    <t>TOTAL KG/M</t>
  </si>
  <si>
    <t>TOTAL EM TONELDAS</t>
  </si>
  <si>
    <t>ADMINISTRAÇÃO LOCAL</t>
  </si>
  <si>
    <t>MOBILIZAÇÃO E DESMOBILIZAÇÃO</t>
  </si>
  <si>
    <t>Banco</t>
  </si>
  <si>
    <t>Código</t>
  </si>
  <si>
    <t>H</t>
  </si>
  <si>
    <t>SERVENTE COM ENCARGOS COMPLEMENTARES</t>
  </si>
  <si>
    <t>ADMINISTRAÇÃO DA OBRA</t>
  </si>
  <si>
    <t>CUSTO UNIT</t>
  </si>
  <si>
    <t>QTD</t>
  </si>
  <si>
    <t>CUSTO TOTAL</t>
  </si>
  <si>
    <t>h</t>
  </si>
  <si>
    <t>Valor Unit</t>
  </si>
  <si>
    <t>L</t>
  </si>
  <si>
    <t>Und</t>
  </si>
  <si>
    <t>Quant.</t>
  </si>
  <si>
    <t>Total</t>
  </si>
  <si>
    <t>un</t>
  </si>
  <si>
    <t xml:space="preserve"> 1 </t>
  </si>
  <si>
    <t>Descrição</t>
  </si>
  <si>
    <t xml:space="preserve"> PON09 </t>
  </si>
  <si>
    <t>Próprio</t>
  </si>
  <si>
    <t>A</t>
  </si>
  <si>
    <t>Custo Horário</t>
  </si>
  <si>
    <t>B</t>
  </si>
  <si>
    <t>C</t>
  </si>
  <si>
    <t>M2208</t>
  </si>
  <si>
    <t>t</t>
  </si>
  <si>
    <t>D</t>
  </si>
  <si>
    <t>Atividades Auxiliares</t>
  </si>
  <si>
    <t>ENCARGOS SOCIAIS SOBRE PREÇOS DA MÃO DE OBRA HORISTA E MENSALISTA</t>
  </si>
  <si>
    <t>CÓDIGO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</si>
  <si>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</si>
  <si>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</si>
  <si>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</si>
  <si>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</si>
  <si>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</si>
  <si>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</si>
  <si>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</si>
  <si>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</si>
  <si>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</si>
  <si>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</si>
  <si>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</si>
  <si>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</si>
  <si>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</si>
  <si>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</si>
  <si>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</si>
  <si>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</si>
  <si>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</si>
  <si>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</si>
  <si>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</si>
  <si>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</si>
  <si>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</si>
  <si>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</si>
  <si>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</si>
  <si>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</si>
  <si>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0,00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</si>
  <si>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</si>
  <si>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</si>
  <si>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</si>
  <si>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</si>
  <si>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</si>
  <si>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</si>
  <si>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</si>
  <si>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</si>
  <si>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</si>
  <si>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</si>
  <si>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</si>
  <si>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</si>
  <si>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</si>
  <si>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</si>
  <si>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</si>
  <si>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</si>
  <si>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</si>
  <si>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</si>
  <si>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TOTAL DOS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</si>
  <si>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</si>
  <si>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</si>
  <si>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</si>
  <si>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</si>
  <si>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</si>
  <si>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</si>
  <si>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(INDENIZADAS)</t>
  </si>
  <si>
    <t>C4</t>
  </si>
  <si>
    <t>DEPÓSITO RESCISÃO SEM JUSTA CAUSA</t>
  </si>
  <si>
    <t>C5</t>
  </si>
  <si>
    <t>INDENIZAÇÃO ADICIONAL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</si>
  <si>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</si>
  <si>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</si>
  <si>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</si>
  <si>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</si>
  <si>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</si>
  <si>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</si>
  <si>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 (A+B+C+D)</t>
  </si>
  <si>
    <t>COMPOSIÇÃO DE BDI (%)</t>
  </si>
  <si>
    <t xml:space="preserve">* Para cálculo do BDI, deverá ser adotada a seguinte fórmula: </t>
  </si>
  <si>
    <t>BDI= (((1+AC+S+R+G)*(1+DF)*(1+L))/(1-I))-1</t>
  </si>
  <si>
    <t>Onde:</t>
  </si>
  <si>
    <t>AC</t>
  </si>
  <si>
    <t>DF</t>
  </si>
  <si>
    <t>R</t>
  </si>
  <si>
    <t>I</t>
  </si>
  <si>
    <t>INTERVALO ADMISSÍVEL</t>
  </si>
  <si>
    <t>Item componente do BDI</t>
  </si>
  <si>
    <t>Mínimo</t>
  </si>
  <si>
    <t xml:space="preserve">Médio </t>
  </si>
  <si>
    <t>Máximo</t>
  </si>
  <si>
    <t xml:space="preserve">Administração Central </t>
  </si>
  <si>
    <t>Seguro e Garantia</t>
  </si>
  <si>
    <t>Risco</t>
  </si>
  <si>
    <t>Despesas financeiras</t>
  </si>
  <si>
    <t>Lucro</t>
  </si>
  <si>
    <t>Tributos (soma dos itens COFINS, ISS e PIS)</t>
  </si>
  <si>
    <t>conforme legislação específica</t>
  </si>
  <si>
    <t>DISCRIMINAÇÃO</t>
  </si>
  <si>
    <t>(%)</t>
  </si>
  <si>
    <t>ADMINISTRAÇÃO CENTRAL</t>
  </si>
  <si>
    <t>Administração central</t>
  </si>
  <si>
    <t>Total AC =</t>
  </si>
  <si>
    <t>DESPESAS FINANCEIRAS</t>
  </si>
  <si>
    <t>Total DF =</t>
  </si>
  <si>
    <t>S, R e G</t>
  </si>
  <si>
    <t>SEGURO, RISCO E GARANTIA DO EMPREENDIMENTO</t>
  </si>
  <si>
    <t>taxa de seguros</t>
  </si>
  <si>
    <t>taxa de riscos</t>
  </si>
  <si>
    <t>taxa de garantias</t>
  </si>
  <si>
    <t>Total R=</t>
  </si>
  <si>
    <t>LUCRO</t>
  </si>
  <si>
    <t>Lucro bruto</t>
  </si>
  <si>
    <t>Total L =</t>
  </si>
  <si>
    <t>TRIBUTOS</t>
  </si>
  <si>
    <t>PIS</t>
  </si>
  <si>
    <t>COFINS</t>
  </si>
  <si>
    <t>ISSQN</t>
  </si>
  <si>
    <t>CPRB</t>
  </si>
  <si>
    <t>Total I =</t>
  </si>
  <si>
    <t>TOTAL (BDI) =</t>
  </si>
  <si>
    <t>Cronograma Físico e Financeiro</t>
  </si>
  <si>
    <t xml:space="preserve">LOCAL: </t>
  </si>
  <si>
    <t>Vigas</t>
  </si>
  <si>
    <t>2X10,30=20,60 igual a 2 Pç sobra 3,40m</t>
  </si>
  <si>
    <t>2/1=2 Pç de 12m</t>
  </si>
  <si>
    <t>peças</t>
  </si>
  <si>
    <t>67/2=34 Pç de 12m</t>
  </si>
  <si>
    <t>Trilho TR68 em aço-carbono - C = 12 m</t>
  </si>
  <si>
    <t>BANCOS: SICRO3 04/2021  -  SINAPI 08/2021    ORSE-SE 08/2021  -   SEINFRA 027</t>
  </si>
  <si>
    <t>Administração local</t>
  </si>
  <si>
    <t>COMPOSIÇÃO PROPRIA</t>
  </si>
  <si>
    <t>mês</t>
  </si>
  <si>
    <t>ORÇAMENTO: NÃO DESONERADO</t>
  </si>
  <si>
    <t>MUNICIPIO: CONCEIÇÃO DO LAGO AÇU - MA</t>
  </si>
  <si>
    <t>m (total tabuleiro)</t>
  </si>
  <si>
    <t>tabuleiro:</t>
  </si>
  <si>
    <t>transversinas:</t>
  </si>
  <si>
    <t>lagura:</t>
  </si>
  <si>
    <t>cm</t>
  </si>
  <si>
    <t>base do TR68:</t>
  </si>
  <si>
    <t>m (total transversinas)</t>
  </si>
  <si>
    <t>peso específico:</t>
  </si>
  <si>
    <t>kg/m</t>
  </si>
  <si>
    <t>perda</t>
  </si>
  <si>
    <t>22 peças com 18,10 m cada peça</t>
  </si>
  <si>
    <t>10 peças com 3,30 m cada peça</t>
  </si>
  <si>
    <t>m3</t>
  </si>
  <si>
    <t>2 lados:</t>
  </si>
  <si>
    <t>pilar parede:</t>
  </si>
  <si>
    <t>ESCAVAÇÃO</t>
  </si>
  <si>
    <t>ESTRUTURA PEDRA ARGAMASSADA:</t>
  </si>
  <si>
    <t>CONTENÇÕES:</t>
  </si>
  <si>
    <t>ESTRUTURA</t>
  </si>
  <si>
    <t>PILARES PAREDE:</t>
  </si>
  <si>
    <t>M3</t>
  </si>
  <si>
    <t>COMPOSIÇÃO ANALÍTICA</t>
  </si>
  <si>
    <t>ICATU</t>
  </si>
  <si>
    <t>CP 001</t>
  </si>
  <si>
    <t>MÃO-DE-OBRA</t>
  </si>
  <si>
    <t>Engenheiro civil de obra júnior (mensalista)</t>
  </si>
  <si>
    <t>Topógrafo</t>
  </si>
  <si>
    <t>Auxiliar de topógrafo</t>
  </si>
  <si>
    <t>SUBTOTAL</t>
  </si>
  <si>
    <t>LOCOMOÇÃO</t>
  </si>
  <si>
    <t>Caminhonete</t>
  </si>
  <si>
    <t>SINAPI-I</t>
  </si>
  <si>
    <t>Combustível - diesel</t>
  </si>
  <si>
    <t>l</t>
  </si>
  <si>
    <t>EQUIPAMENTOS</t>
  </si>
  <si>
    <t>Estação Total classe 2</t>
  </si>
  <si>
    <t>LEIS SOCIAIS:</t>
  </si>
  <si>
    <t>%</t>
  </si>
  <si>
    <t>BDI:</t>
  </si>
  <si>
    <t>DIAS TRABALHADOS NO MÊS:</t>
  </si>
  <si>
    <t>dias</t>
  </si>
  <si>
    <t>SUBTOTAL MÃO DE OBRA:</t>
  </si>
  <si>
    <t>PRODUÇÃO DIÁRIA:</t>
  </si>
  <si>
    <t>km</t>
  </si>
  <si>
    <t>TRECHO:</t>
  </si>
  <si>
    <t>SUBTOTAL DE LOCOMOÇÃO E EQUIPAMENTOS:</t>
  </si>
  <si>
    <t>CUSTO TOTAL DE MÃO DE OBRA, LOCOMOÇÃO E EQUIPAM.:</t>
  </si>
  <si>
    <t>DESPESAS GERAIS E MATERIAIS DE CONSUMO (6,00%):</t>
  </si>
  <si>
    <t>CUSTO TOTAL DE MÃO DE OBRA + LOCOM + EQUIP. + DESPESAS GERAIS:</t>
  </si>
  <si>
    <t>SUBTOTAL DOS MENSAIS:</t>
  </si>
  <si>
    <t>CUSTO COM B.D.I (23,21%)</t>
  </si>
  <si>
    <t>CUSTO TOTAL DO LEVANTAMENTO PLANIALTIMÉTRICO:</t>
  </si>
  <si>
    <t>MATERIAL</t>
  </si>
  <si>
    <t>PM</t>
  </si>
  <si>
    <t>Plotagem de projetos</t>
  </si>
  <si>
    <t>SUBTOTAL DE MATERIAL:</t>
  </si>
  <si>
    <t>CUSTO COM B.D.I (23,21%):</t>
  </si>
  <si>
    <t>CUSTO TOTAL DO MATERIAL DE PLOTAGEM DE PROJETOS:</t>
  </si>
  <si>
    <t>CUSTO TOTAL DA ELABORAÇÃO DO PROJETO BÁSICO:</t>
  </si>
  <si>
    <t>CP 002</t>
  </si>
  <si>
    <t>Carpinteiro de formas</t>
  </si>
  <si>
    <t>Servente</t>
  </si>
  <si>
    <t>Peça de madeira de lei 2,5x7,5cm (1x3"), não aparelhada</t>
  </si>
  <si>
    <t>Peça de madeira nativa/regional 7,5x7,5cm (3x3) não aparelhada</t>
  </si>
  <si>
    <t>Placa de obra (para construção civil) em chapa de aço galvanizada n22 , pintada</t>
  </si>
  <si>
    <t>m2</t>
  </si>
  <si>
    <t>prego polido com cabeça 18x30</t>
  </si>
  <si>
    <t>kg</t>
  </si>
  <si>
    <t>2.2</t>
  </si>
  <si>
    <t>CP 003</t>
  </si>
  <si>
    <t xml:space="preserve">Engenheiro civil </t>
  </si>
  <si>
    <t>Encarregado de turma</t>
  </si>
  <si>
    <t>2.3</t>
  </si>
  <si>
    <t>CP 004</t>
  </si>
  <si>
    <t>Pedreiro</t>
  </si>
  <si>
    <t>Tabua de madeira 2A qualidade  2,5 x 30,0 cm (1x12) não aparelhada</t>
  </si>
  <si>
    <t>Pilar de madeira não aparelhada</t>
  </si>
  <si>
    <t>Viga de madeira aparelhada 6x12</t>
  </si>
  <si>
    <t>Telha de fibrocimento ondulada 4mm 2,44 x 0,50m</t>
  </si>
  <si>
    <t>Tabua de madeira 3A qualidade  2,5 x 30,0 cm não aparelhada</t>
  </si>
  <si>
    <t>Brita</t>
  </si>
  <si>
    <t>Cimento portland</t>
  </si>
  <si>
    <t>Prego 18x27</t>
  </si>
  <si>
    <t>Sarrafo de 1x4</t>
  </si>
  <si>
    <t>Areia  grossa - posto jazida</t>
  </si>
  <si>
    <t>Chapa de compensado</t>
  </si>
  <si>
    <t>Prego 15x15</t>
  </si>
  <si>
    <t>2.4</t>
  </si>
  <si>
    <t>CP 005</t>
  </si>
  <si>
    <t>EQUIPAMENTOS TRANSPORTADOS</t>
  </si>
  <si>
    <t>CÓDIGO E REFERÊNCIA</t>
  </si>
  <si>
    <t>DISTÂNCIA (KM) - D</t>
  </si>
  <si>
    <t>Nº DE VIAGENS - N</t>
  </si>
  <si>
    <t>FATOR DE UTILIZAÇÃO (FU)</t>
  </si>
  <si>
    <t>VELOC. (KM/H)</t>
  </si>
  <si>
    <t>CUSTO HORÁRIO DO TRANSPORTE (CH)</t>
  </si>
  <si>
    <t>CUSTO HORÁRIO</t>
  </si>
  <si>
    <t>*</t>
  </si>
  <si>
    <t>E9665</t>
  </si>
  <si>
    <t>Cavalo mecânico com semirreboque com capacidade de 22 t - 240 kW</t>
  </si>
  <si>
    <t xml:space="preserve">E9584 - SICRO </t>
  </si>
  <si>
    <t>Carregadeira de pneus</t>
  </si>
  <si>
    <t>E9579 - SICRO</t>
  </si>
  <si>
    <t>Caminhão basculante - 10m³ - 15t (170 kw)</t>
  </si>
  <si>
    <t>CP 006</t>
  </si>
  <si>
    <t>RECUPERAÇÃO DE PONTE DE MADEIRA</t>
  </si>
  <si>
    <t>DESMONTE SUPERESTRUTURA</t>
  </si>
  <si>
    <t>EQUIPAMENTO</t>
  </si>
  <si>
    <t>SICRO3-I</t>
  </si>
  <si>
    <t>E9585</t>
  </si>
  <si>
    <t xml:space="preserve">Moto serra n°. 08 </t>
  </si>
  <si>
    <t>und</t>
  </si>
  <si>
    <t>E9687</t>
  </si>
  <si>
    <t xml:space="preserve">Caminhão Carroceria - 4 t (80 KW) </t>
  </si>
  <si>
    <t>SUBTOTAL A</t>
  </si>
  <si>
    <t>MÃO DE OBRA</t>
  </si>
  <si>
    <t xml:space="preserve">Encarregado de turma </t>
  </si>
  <si>
    <t xml:space="preserve">Carpinteiro </t>
  </si>
  <si>
    <t xml:space="preserve">Ajudante </t>
  </si>
  <si>
    <t>SUBTOTAL B</t>
  </si>
  <si>
    <t>CUSTO HORÁRIO TOTAL</t>
  </si>
  <si>
    <t>PRODUÇÃO EQUIPE - m</t>
  </si>
  <si>
    <t>CUSTO UNITÁRIO EQUIP+MAO DE OBRA</t>
  </si>
  <si>
    <t>RECUPERAÇÃO GUARDA-CORPO</t>
  </si>
  <si>
    <t>Pintor</t>
  </si>
  <si>
    <t>MATERIAIS</t>
  </si>
  <si>
    <t>SARRAFO DE MADEIRA NAO APARELHADA 2,5 X 5 CM</t>
  </si>
  <si>
    <t>M</t>
  </si>
  <si>
    <t>PREGO DE ACO POLIDO COM CABECA 18 X 30 (2 3/4 X 10)</t>
  </si>
  <si>
    <t>Kg</t>
  </si>
  <si>
    <t>PILAR DE MADEIRA NAO APARELHADA *10 X 10* CM</t>
  </si>
  <si>
    <t>VERNIZ POLIURETANO BRILHANTE PARA MADEIRA</t>
  </si>
  <si>
    <t xml:space="preserve">SUBTOTAL </t>
  </si>
  <si>
    <t>CUSTO UNITÁRIO SUBTOTAL 2</t>
  </si>
  <si>
    <t>RECUPERAÇÃO TABULEIRO DE MADEIRA</t>
  </si>
  <si>
    <t>E9055</t>
  </si>
  <si>
    <t>Guincho pneumático com capacidade de 2,5 t</t>
  </si>
  <si>
    <t>PRANCHAO DE MADEIRA APARELHADA</t>
  </si>
  <si>
    <t>CUSTO UNITÁRIO SUBTOTAL 3</t>
  </si>
  <si>
    <t>CUSTO UNITÁRIO TOTAL</t>
  </si>
  <si>
    <t>CP 007</t>
  </si>
  <si>
    <t>Trator de esteiras - com lâmina</t>
  </si>
  <si>
    <t>Obra</t>
  </si>
  <si>
    <t>Encargos Sociais</t>
  </si>
  <si>
    <t xml:space="preserve"> 1.1 </t>
  </si>
  <si>
    <t xml:space="preserve"> CPU-002 </t>
  </si>
  <si>
    <t>MÊS</t>
  </si>
  <si>
    <t xml:space="preserve"> 1.2 </t>
  </si>
  <si>
    <t>EXECUÇÃO DE DEPÓSITO EM CANTEIRO DE OBRA EM CHAPA DE MADEIRA COMPENSADA, NÃO INCLUSO MOBILIÁRIO. AF_04/2016</t>
  </si>
  <si>
    <t>m²</t>
  </si>
  <si>
    <t xml:space="preserve"> 1.3 </t>
  </si>
  <si>
    <t>PLACA DE OBRA EM CHAPA DE AÇO GALVANIZADO</t>
  </si>
  <si>
    <t xml:space="preserve"> 1.4 </t>
  </si>
  <si>
    <t xml:space="preserve"> BRE-CPU-2 </t>
  </si>
  <si>
    <t>MOBILIZAÇÃO E DESMOBILIZAÇÃO DE MAQUINAS E EQUIPAMENTOS</t>
  </si>
  <si>
    <t xml:space="preserve"> 6 </t>
  </si>
  <si>
    <t>CONSTRUÇÃO DE PONTE MISTA NO POVOADO CIGANA - 17,00 m x 3,00 m</t>
  </si>
  <si>
    <t>DEMOLIÇÃO MECÂNICA DE ESTRUTURA EXISTENTE, COM ESCAVADEIRA HIDRÁULICA COM MARTELO HIDRÁULICO - SEM REAPROVEITAMENTO</t>
  </si>
  <si>
    <t>m³</t>
  </si>
  <si>
    <t>TRANSPORTE COM CAMINHÃO BASCULANTE DE 10 M³, EM VIA URBANA EM LEITO NATURAL (UNIDADE: M3XKM). AF_07/2020</t>
  </si>
  <si>
    <t>M3XKM</t>
  </si>
  <si>
    <t>UN</t>
  </si>
  <si>
    <t xml:space="preserve"> CPU-AUX-07065 </t>
  </si>
  <si>
    <t>LOCACAO DA OBRA, COM USO DE EQUIPAMENTOS TOPOGRAFICOS, INCLUSIVE NIVELADOR</t>
  </si>
  <si>
    <t>MOVIMENTAÇÃO DE TERRA</t>
  </si>
  <si>
    <t>ESCAVAÇÃO HORIZONTAL, INCLUINDO CARGA, DESCARGA E TRANSPORTE EM SOLO DE 1A CATEGORIA COM TRATOR DE ESTEIRAS (100HP/LÂMINA: 2,19M3) E CAMINHÃO BASCULANTE DE 14M3, DMT ATÉ 200M. AF_07/2020</t>
  </si>
  <si>
    <t>PEDRA ARGAMASSADA COM CIMENTO E AREIA 1:3, 40% DE ARGAMASSA EM VOLUME - AREIA E PEDRA DE MÃO COMERCIAIS - FORNECIMENTO E ASSENTAMENTO. AF_08/2022</t>
  </si>
  <si>
    <t>SUPRAESTRUTURA</t>
  </si>
  <si>
    <t>GUINDAUTO HIDRÁULICO COM CAPACIDADE MÁXIMA DE CARGA 3300 KG, PARA APOIO E IÇAMENTO DA ESTRUTURA METÁLICA</t>
  </si>
  <si>
    <t>GUARDA-CORPO DE AÇO GALVANIZADO DE 1,10M DE ALTURA, MONTANTES TUBULARES DE 3",ESPAÇADOS DE 1,20M, TRAVESSA SUPERIOR DE 2, GRADIL FORMADO POR BARRAS CHATAS EM FERRO DE 32X4,8MM, FIXADO COM CHUMBADOR MECÂNICO</t>
  </si>
  <si>
    <t>SERVIÇOS COMPLEMENTARES</t>
  </si>
  <si>
    <t>LIMPEZA DE SUPERFÍCIE COM JATO DE ALTA PRESSÃO. AF_04/2019</t>
  </si>
  <si>
    <t xml:space="preserve">_______________________________________________________________
</t>
  </si>
  <si>
    <t>E9515 - SICRO</t>
  </si>
  <si>
    <t>Escavadeira hidráulica sobre esteiras</t>
  </si>
  <si>
    <t>93402 - SINAPI</t>
  </si>
  <si>
    <t>GUINDAUTO HIDRÁULICO, CAPACIDADE MÁXIMA DE CARGA 3300 KG, MOMENTO MÁXIMO DE CARGA 5,8 TM, ALCANCE MÁXIMO HORIZONTAL 7,60 M, INCLUSIVE CAMINHÃO TOCO PBT 16.000 KG, POTÊNCIA DE 189 CV - CHP DIURNO</t>
  </si>
  <si>
    <t>Extraído do projeto</t>
  </si>
  <si>
    <t>DMT (km)</t>
  </si>
  <si>
    <t>VOLUME (m³)</t>
  </si>
  <si>
    <t>ÁREA (m²)</t>
  </si>
  <si>
    <t>COMPR. (m)</t>
  </si>
  <si>
    <t>m³xkm</t>
  </si>
  <si>
    <t>LOCAÇÃO DE PONTO PARA REFERÊNCIA TOPOGRÁFICA</t>
  </si>
  <si>
    <t>CARGA, MANOBRA E DESCARGA DE ENTULHO EM CAMINHÃO BASCULANTE 6 M³ - CARGA COM ESCAVADEIRA HIDRÁULICA  (CAÇAMBA DE 0,80 M³ / 111 HP) E DESCARGA LIVRE (UNIDADE: M3)</t>
  </si>
  <si>
    <t>LIMPEZA MANUAL DE VEGETAÇÃO EM TERRENO COM ENXADA</t>
  </si>
  <si>
    <t xml:space="preserve">un </t>
  </si>
  <si>
    <t>MURO DE CONTENÇÃO E ALAS</t>
  </si>
  <si>
    <t>ALTURA (m)</t>
  </si>
  <si>
    <t>ESTRUTURAS (PILAR PAREDE - PEDRA ARGAMASSADA)</t>
  </si>
  <si>
    <t>ARGILA OU BARRO PARA ATERRO/REATERRO (COM TRANSPORTE ATE 10 KM) - Cabeceiras</t>
  </si>
  <si>
    <t>MURO DE CONTENÇÃO E ALAS 2</t>
  </si>
  <si>
    <t>MURO DE CONTENÇÃO E ALAS 3</t>
  </si>
  <si>
    <t>MURO DE CONTENÇÃO E ALAS 4</t>
  </si>
  <si>
    <t>PESO ESPECÍFICO (KG/M)</t>
  </si>
  <si>
    <t>Informações técnicas</t>
  </si>
  <si>
    <t>Comprimento:</t>
  </si>
  <si>
    <t>Largura:</t>
  </si>
  <si>
    <t>Esp. Estruturas Centrais:</t>
  </si>
  <si>
    <t>Cabeceiras:</t>
  </si>
  <si>
    <t>Altura total:</t>
  </si>
  <si>
    <t>Base do TR68:</t>
  </si>
  <si>
    <t>TRANSVERSINAS - VIGAS BERÇO (TR68)</t>
  </si>
  <si>
    <t>6 vãos</t>
  </si>
  <si>
    <t>estruturas centrais = vão - 1</t>
  </si>
  <si>
    <t>3 vãos</t>
  </si>
  <si>
    <t>5 vãos</t>
  </si>
  <si>
    <t>1.3</t>
  </si>
  <si>
    <t>M131</t>
  </si>
  <si>
    <t>74209/001</t>
  </si>
  <si>
    <t>Projeção da parte superior das cabeceiras</t>
  </si>
  <si>
    <t>vãos</t>
  </si>
  <si>
    <t>contenção e alas 1</t>
  </si>
  <si>
    <t>contenção e alas 2</t>
  </si>
  <si>
    <t>contenção e alas 3</t>
  </si>
  <si>
    <t>contenção e alas 4</t>
  </si>
  <si>
    <t>TRANSPORTE DO BOTA-FORA</t>
  </si>
  <si>
    <t>REATERRO MANUAL DE VALAS COM COMPACTAÇÃO MECANIZADA. AF_04/2016</t>
  </si>
  <si>
    <t>Bancos</t>
  </si>
  <si>
    <t>B.D.I.</t>
  </si>
  <si>
    <t xml:space="preserve">SINAPI - 12/2022 - Maranhão
SICRO3 - 10/2022 - Maranhão
</t>
  </si>
  <si>
    <t>Não Desonerado: embutido nos preços unitário dos insumos de mão de obra, de acordo com as bases.</t>
  </si>
  <si>
    <t>Item</t>
  </si>
  <si>
    <t>Valor Unit com BDI</t>
  </si>
  <si>
    <t>SERVIÇOS PRELIMINARES - ADM DA OBRA, PLACA, CANTEIRO, MOBILIZAÇÃO</t>
  </si>
  <si>
    <t xml:space="preserve"> CP 005 </t>
  </si>
  <si>
    <t>Mobilização e desmobilização de máquinas e equipamentos</t>
  </si>
  <si>
    <t>DEMOLIÇÕES, RETIRADAS E LOCAÇÃO</t>
  </si>
  <si>
    <t>LIMPEZA MANUAL DE VEGETAÇÃO EM TERRENO COM ENXADA.AF_05/2018</t>
  </si>
  <si>
    <t>CARGA, MANOBRA E DESCARGA DE ENTULHO EM CAMINHÃO BASCULANTE 6 M³ - CARGA COM ESCAVADEIRA HIDRÁULICA  (CAÇAMBA DE 0,80 M³ / 111 HP) E DESCARGA LIVRE (UNIDADE: M3). AF_07/2020</t>
  </si>
  <si>
    <t>LOCAÇÃO DE PONTO PARA REFERÊNCIA TOPOGRÁFICA. AF_10/2018</t>
  </si>
  <si>
    <t>ARGILA OU BARRO PARA ATERRO/REATERRO (COM TRANSPORTE ATE 10 KM)</t>
  </si>
  <si>
    <t xml:space="preserve"> 103800-adap. </t>
  </si>
  <si>
    <t>Memória de Cálculo - Povoado Cigana</t>
  </si>
  <si>
    <t>ESP. (m)</t>
  </si>
  <si>
    <t>LARG. (m)</t>
  </si>
  <si>
    <t>EMPOL. (%)</t>
  </si>
  <si>
    <t>VALOR TOTAL:</t>
  </si>
  <si>
    <t>2.1.1</t>
  </si>
  <si>
    <t>2.1.2</t>
  </si>
  <si>
    <t>2.1.3</t>
  </si>
  <si>
    <t>2.1.4</t>
  </si>
  <si>
    <t>2.1.5</t>
  </si>
  <si>
    <t>2.1.6</t>
  </si>
  <si>
    <t>2.2.1</t>
  </si>
  <si>
    <t>2.2.2</t>
  </si>
  <si>
    <t>2.2.3</t>
  </si>
  <si>
    <t>2.2.4</t>
  </si>
  <si>
    <t>2.2.5</t>
  </si>
  <si>
    <t>2.3.1</t>
  </si>
  <si>
    <t>2.4.1</t>
  </si>
  <si>
    <t>2.4.2</t>
  </si>
  <si>
    <t>2.4.3</t>
  </si>
  <si>
    <t>2.5</t>
  </si>
  <si>
    <t>2.5.1</t>
  </si>
  <si>
    <t>Composição</t>
  </si>
  <si>
    <t>Composição Auxiliar</t>
  </si>
  <si>
    <t>ENGENHEIRO CIVIL DE OBRA JUNIOR COM ENCARGOS COMPLEMENTARES</t>
  </si>
  <si>
    <t>ENCARREGADO GERAL COM ENCARGOS COMPLEMENTARES</t>
  </si>
  <si>
    <t>Insumo</t>
  </si>
  <si>
    <t>CARPINTEIRO DE FORMAS COM ENCARGOS COMPLEMENTARES</t>
  </si>
  <si>
    <t>CONCRETO MAGRO PARA LASTRO, TRAÇO 1:4,5:4,5 (EM MASSA SECA DE CIMENTO/ AREIA MÉDIA/ BRITA 1) - PREPARO MECÂNICO COM BETONEIRA 400 L. AF_05/2021</t>
  </si>
  <si>
    <t>PLACA DE OBRA (PARA CONSTRUCAO CIVIL) EM CHAPA GALVANIZADA *N. 22*, ADESIVADA, DE *2,0 X 1,125* M</t>
  </si>
  <si>
    <t>PONTALETE *7,5 X 7,5* CM EM PINUS, MISTA OU EQUIVALENTE DA REGIAO - BRUTA</t>
  </si>
  <si>
    <t>KG</t>
  </si>
  <si>
    <t>SARRAFO NAO APARELHADO *2,5 X 7* CM, EM MACARANDUBA, ANGELIM OU EQUIVALENTE DA REGIAO -  BRUTA</t>
  </si>
  <si>
    <t xml:space="preserve"> 93402 </t>
  </si>
  <si>
    <t>GUINDAUTO HIDRÁULICO, CAPACIDADE MÁXIMA DE CARGA 3300 KG, MOMENTO MÁXIMO DE CARGA 5,8 TM, ALCANCE MÁXIMO HORIZONTAL 7,60 M, INCLUSIVE CAMINHÃO TOCO PBT 16.000 KG, POTÊNCIA DE 189 CV - CHP DIURNO. AF_03/2016</t>
  </si>
  <si>
    <t>CHP</t>
  </si>
  <si>
    <t xml:space="preserve"> E9665 </t>
  </si>
  <si>
    <t xml:space="preserve"> E9579 </t>
  </si>
  <si>
    <t>Caminhão basculante com capacidade de 10 m³ - 188 kW</t>
  </si>
  <si>
    <t>Fator de Utilização conforme Volume 09 - Manual do DNIT - Mobilização e Desmobilização.</t>
  </si>
  <si>
    <t>RETROESCAVADEIRA SOBRE RODAS COM CARREGADEIRA, TRAÇÃO 4X2, POTÊNCIA LÍQ. 79 HP, CAÇAMBA CARREG. CAP. MÍN. 1 M3, CAÇAMBA RETRO CAP. 0,20 M3, PESO OPERACIONAL MÍN. 6.570 KG, PROFUNDIDADE ESCAVAÇÃO MÁX. 4,37 M - CHP DIURNO. AF_06/2014</t>
  </si>
  <si>
    <t>RETROESCAVADEIRA SOBRE RODAS COM CARREGADEIRA, TRAÇÃO 4X2, POTÊNCIA LÍQ. 79 HP, CAÇAMBA CARREG. CAP. MÍN. 1 M3, CAÇAMBA RETRO CAP. 0,20 M3, PESO OPERACIONAL MÍN. 6.570 KG, PROFUNDIDADE ESCAVAÇÃO MÁX. 4,37 M - CHI DIURNO. AF_06/2014</t>
  </si>
  <si>
    <t>CHI</t>
  </si>
  <si>
    <t>AUXILIAR DE TOPÓGRAFO COM ENCARGOS COMPLEMENTARES</t>
  </si>
  <si>
    <t>LOCACAO DE TEODOLITO ELETRONICO, PRECISAO ANGULAR DE 5 A 7 SEGUNDOS, INCLUINDO TRIPE</t>
  </si>
  <si>
    <t>NIVELADOR COM ENCARGOS COMPLEMENTARES</t>
  </si>
  <si>
    <t>ARAME GALVANIZADO 16 BWG, D = 1,65MM (0,0166 KG/M)</t>
  </si>
  <si>
    <t>CAIBRO NAO APARELHADO  *7,5 X 7,5* CM, EM MACARANDUBA, ANGELIM OU EQUIVALENTE DA REGIAO -  BRUTA</t>
  </si>
  <si>
    <t>PREGO DE ACO POLIDO COM CABECA 15 X 18 (1 1/2 X 13)</t>
  </si>
  <si>
    <t>TABUA NAO APARELHADA *2,5 X 30* CM, EM MACARANDUBA, ANGELIM OU EQUIVALENTE DA REGIAO - BRUTA</t>
  </si>
  <si>
    <t>LOCACAO DE NIVEL OPTICO, COM PRECISAO DE 0,7 MM, AUMENTO DE 32X</t>
  </si>
  <si>
    <t>PEDREIRO COM ENCARGOS COMPLEMENTARES</t>
  </si>
  <si>
    <t>ARGAMASSA TRAÇO 1:3 (EM VOLUME DE CIMENTO E AREIA MÉDIA ÚMIDA), PREPARO MANUAL. AF_08/2019</t>
  </si>
  <si>
    <t>Esgotamento de água com bomba submersa</t>
  </si>
  <si>
    <t>PEDRA DE MAO OU PEDRA RACHAO PARA ARRIMO/FUNDACAO (POSTO PEDREIRA/FORNECEDOR, SEM FRETE)</t>
  </si>
  <si>
    <t>Tirefão - D = 22 mm e C = 155 mm</t>
  </si>
  <si>
    <t>Custo Total do Material =&gt;</t>
  </si>
  <si>
    <t>Atividade Auxiliar</t>
  </si>
  <si>
    <t>Custo Total das Atividades =&gt;</t>
  </si>
  <si>
    <t>GUINDAUTO HIDRÁULICO, CAPACIDADE MÁXIMA DE CARGA 3300 KG, MOMENTO MÁXIMO DE CARGA 5,8 TM, ALCANCE MÁXIMO HORIZONTAL 7,60 M, INCLUSIVE CAMINHÃO TOCO PBT 16.000 KG, POTÊNCIA DE 189 CV - CHI DIURNO. AF_03/2016</t>
  </si>
  <si>
    <t>AUXILIAR DE SERRALHEIRO COM ENCARGOS COMPLEMENTARES</t>
  </si>
  <si>
    <t>SERRALHEIRO COM ENCARGOS COMPLEMENTARES</t>
  </si>
  <si>
    <t>GRUPO DE SOLDAGEM COM GERADOR A DIESEL 60 CV PARA SOLDA ELÉTRICA, SOBRE 04 RODAS, COM MOTOR 4 CILINDROS 600 A - CHI DIURNO. AF_02/2016</t>
  </si>
  <si>
    <t>GRUPO DE SOLDAGEM COM GERADOR A DIESEL 60 CV PARA SOLDA ELÉTRICA, SOBRE 04 RODAS, COM MOTOR 4 CILINDROS 600 A - CHP DIURNO. AF_02/2016</t>
  </si>
  <si>
    <t>CHAPA DE ACO GROSSA, ASTM A36, E = 3/8 " (9,53 MM) 74,69 KG/M2</t>
  </si>
  <si>
    <t>ELETRODO REVESTIDO AWS - E6013, DIAMETRO IGUAL A 2,50 MM</t>
  </si>
  <si>
    <t>PARAFUSO DE ACO TIPO CHUMBADOR PARABOLT, DIAMETRO 3/8", COMPRIMENTO 75 MM</t>
  </si>
  <si>
    <t>TUBO ACO GALVANIZADO COM COSTURA, CLASSE LEVE, DN 50 MM ( 2"),  E = 3,00 MM,  *4,40* KG/M (NBR 5580)</t>
  </si>
  <si>
    <t>TUBO ACO GALVANIZADO COM COSTURA, CLASSE LEVE, DN 80 MM ( 3"),  E = 3,35 MM, *7,32* KG/M (NBR 5580)</t>
  </si>
  <si>
    <t>COMPOSIÇÕES PRÓPRIAS</t>
  </si>
  <si>
    <t>Valor Unit. Total</t>
  </si>
  <si>
    <t xml:space="preserve">Carga, manobra e descarga de materiais metálicos e acessórios </t>
  </si>
  <si>
    <t>Planilha Orçamentária - Povoado Santa Rosa</t>
  </si>
  <si>
    <t>Memória de Cálculo - Povoado Santa Rosa</t>
  </si>
  <si>
    <t>santa rosa</t>
  </si>
  <si>
    <t>baixão dos julios</t>
  </si>
  <si>
    <t>santa maria</t>
  </si>
  <si>
    <t>piquizeiro</t>
  </si>
  <si>
    <t>Santo Inácio</t>
  </si>
  <si>
    <t>Sucuruju</t>
  </si>
  <si>
    <t>Cedro</t>
  </si>
  <si>
    <t>Anibal</t>
  </si>
  <si>
    <t>Massangano I</t>
  </si>
  <si>
    <t>Memória de Cálculo - Baixão dos Julios</t>
  </si>
  <si>
    <t>Planilha Orçamentária - Povoado Santa Maria</t>
  </si>
  <si>
    <t>Construção de Ponte Mista Trilho TR68 - Piquizeiro 67,00 m x 3,00 m</t>
  </si>
  <si>
    <t>Memória de Cálculo - Piquizeiro</t>
  </si>
  <si>
    <t>Memória de Cálculo - Santa Maria</t>
  </si>
  <si>
    <t>Memória de Cálculo - Santo Inácio</t>
  </si>
  <si>
    <t>Memória de Cálculo - Sucuruju</t>
  </si>
  <si>
    <t>Planilha Orçamentária - Cedro</t>
  </si>
  <si>
    <t>Memória de Cálculo - Cedro</t>
  </si>
  <si>
    <t>Planilha Orçamentária - Anibal</t>
  </si>
  <si>
    <t>Memória de Cálculo - Anibal</t>
  </si>
  <si>
    <t>Memória de Cálculo - Massagano I</t>
  </si>
  <si>
    <t>TOTAL GERAL DAS PONTES:</t>
  </si>
  <si>
    <t>Linhas Intermediárias:</t>
  </si>
  <si>
    <t>LINHAS INTERMEDIÁRIAS</t>
  </si>
  <si>
    <t>Profundidade Estacas:</t>
  </si>
  <si>
    <t>COLOCAÇÃO DO CONTRAVENTAMENTO</t>
  </si>
  <si>
    <t>CONFORME PROJETO</t>
  </si>
  <si>
    <t>=</t>
  </si>
  <si>
    <t>Estacas</t>
  </si>
  <si>
    <t>2.3.2</t>
  </si>
  <si>
    <t>OPERADOR PARA BATE ESTACAS COM ENCARGOS COMPLEMENTARES</t>
  </si>
  <si>
    <t>E9502</t>
  </si>
  <si>
    <t>Bate-estaca de gravidade para 6 t - 119 kW</t>
  </si>
  <si>
    <t>2.3.3</t>
  </si>
  <si>
    <t xml:space="preserve"> PON08</t>
  </si>
  <si>
    <t>CABECEIRAS E ALAS EM CONCRETO ARMADO</t>
  </si>
  <si>
    <t>E9502 - SICRO</t>
  </si>
  <si>
    <t>Bate-estaca de gravidade para 3,5 a 4,0 t -
119 Kw</t>
  </si>
  <si>
    <t>E9686</t>
  </si>
  <si>
    <t xml:space="preserve">Caminhão carroceria com guindauto com capacidade de 20 t.m - 136 kW	</t>
  </si>
  <si>
    <t>Caminhão carroceria com guindauto com capacidade de 20 t.m - 136 kW</t>
  </si>
  <si>
    <t>LASTRO DE CONCRETO</t>
  </si>
  <si>
    <t>LASTRO DE CONCRETO MAGRO</t>
  </si>
  <si>
    <t>CIGANA</t>
  </si>
  <si>
    <t>Planilha Orçamentária - Piquizeiro</t>
  </si>
  <si>
    <t>Planilha Orçamentária - Sucuruju</t>
  </si>
  <si>
    <t>Planilha Orçamentária - Massagano I</t>
  </si>
  <si>
    <t xml:space="preserve">1.2 </t>
  </si>
  <si>
    <t>1.5</t>
  </si>
  <si>
    <t>.6</t>
  </si>
  <si>
    <t>3.2</t>
  </si>
  <si>
    <t>3.3</t>
  </si>
  <si>
    <t>3.4</t>
  </si>
  <si>
    <t>4.3</t>
  </si>
  <si>
    <t>Planilha Orçamentária - Baixão dos Julios</t>
  </si>
  <si>
    <t>Planilha Orçamentária - Santo Inácio</t>
  </si>
  <si>
    <t>Não Desonerado</t>
  </si>
  <si>
    <t>B.D.I:</t>
  </si>
  <si>
    <t>Bancos:</t>
  </si>
  <si>
    <t>Encargos Sociais:</t>
  </si>
  <si>
    <t>Obra:</t>
  </si>
  <si>
    <t>MUNICIPIO: BARREIRINHAS/MA</t>
  </si>
  <si>
    <t>LOCAL: ZONA RURAL</t>
  </si>
  <si>
    <t>Solda elétrica de perfis metálicos e chapas de aço com eletrodo E70XX</t>
  </si>
  <si>
    <t>Trilho TR68 em aço-carbono - Carga, manobra e descarga de materiais diversos em caminhão carroceria com capacidade de 11 t e com guindauto de 45 t.m</t>
  </si>
  <si>
    <t>CRAVAÇÃO DOS TRILHOS DAS CABECEIRAS, INCLUSIVE FORNECIMENTO, TRANSPORTE E INSTALAÇÃO.</t>
  </si>
  <si>
    <t>ESTACA DUPLO TRILHO TR68, FORNECIMENTO E CRAVAÇÃO, INCLUSIVE TRANSPORTE.</t>
  </si>
  <si>
    <t>2.3.4</t>
  </si>
  <si>
    <t>2.3.5</t>
  </si>
  <si>
    <t>Assentamento dos trilhos TR 68 - LONGARINAS E TRANSVERSINAS</t>
  </si>
  <si>
    <t>3.5</t>
  </si>
  <si>
    <t>PON08</t>
  </si>
  <si>
    <t xml:space="preserve"> 00004777 </t>
  </si>
  <si>
    <t xml:space="preserve"> 00010997 </t>
  </si>
  <si>
    <t xml:space="preserve"> 00011963 </t>
  </si>
  <si>
    <t>AJUDANTE DE ESTRUTURA METÁLICA COM ENCARGOS COMPLEMENTARES</t>
  </si>
  <si>
    <t>MONTADOR DE ESTRUTURA METÁLICA COM ENCARGOS COMPLEMENTARES</t>
  </si>
  <si>
    <t>SOLDADOR COM ENCARGOS COMPLEMENTARES</t>
  </si>
  <si>
    <t>GUINDASTE HIDRÁULICO AUTOPROPELIDO, COM LANÇA TELESCÓPICA 40 M, CAPACIDADE MÁXIMA 60 T, POTÊNCIA 260 KW - CHP DIURNO. AF_03/2016</t>
  </si>
  <si>
    <t>GUINDASTE HIDRÁULICO AUTOPROPELIDO, COM LANÇA TELESCÓPICA 40 M, CAPACIDADE MÁXIMA 60 T, POTÊNCIA 260 KW - CHI DIURNO. AF_03/2016</t>
  </si>
  <si>
    <t>JATEAMENTO ABRASIVO COM GRANALHA DE AÇO EM PERFIL METÁLICO EM FÁBRICA. AF_01/2020</t>
  </si>
  <si>
    <t>PINTURA COM TINTA ALQUÍDICA DE FUNDO (TIPO ZARCÃO) PULVERIZADA SOBRE PERFIL METÁLICO EXECUTADO EM FÁBRICA (POR DEMÃO). AF_01/2020</t>
  </si>
  <si>
    <t>CANTONEIRA ACO ABAS IGUAIS (QUALQUER BITOLA), ESPESSURA ENTRE 1/8" E 1/4"</t>
  </si>
  <si>
    <t>ELETRODO REVESTIDO AWS - E7018, DIAMETRO IGUAL A 4,00 MM</t>
  </si>
  <si>
    <t>PARAFUSO DE ACO TIPO CHUMBADOR PARABOLT, DIAMETRO 1/2", COMPRIMENTO 75 MM</t>
  </si>
  <si>
    <t>2.5.2</t>
  </si>
  <si>
    <t>ORSE</t>
  </si>
  <si>
    <t>Placa de inauguração de obra em alumínio 0,15 x 0,39 m</t>
  </si>
  <si>
    <t>CONTENÇÃO EM CONCRETO ARMADO E ESTACAS EM TRILHO TR-68 (INFRA E MESO)</t>
  </si>
  <si>
    <t>ESTACA DUPLO TRILHO TR68, FORNECIMENTO E CRAVAÇÃO, INCLUSIVE TRANSPORTE - PÓRTICOS DA ESTRUTURA</t>
  </si>
  <si>
    <t xml:space="preserve"> PON09</t>
  </si>
  <si>
    <t>LONGARINAS (TR68)</t>
  </si>
  <si>
    <t>2.4.4</t>
  </si>
  <si>
    <t>5.2</t>
  </si>
  <si>
    <t>FABRICAÇÃO, MONTAGEM E DESMONTAGEM DE FÔRMA</t>
  </si>
  <si>
    <t xml:space="preserve"> 88262 </t>
  </si>
  <si>
    <t xml:space="preserve"> 88309 </t>
  </si>
  <si>
    <t xml:space="preserve"> 88316 </t>
  </si>
  <si>
    <t xml:space="preserve"> 00043127 </t>
  </si>
  <si>
    <t>TELA DE ACO SOLDADA NERVURADA, CA-60, Q-283 (4,48 KG/M2), DIAMETRO DO FIO = 6,0 MM, LARGURA = 2,45 X 6,00 M DE COMPRIMENTO, ESPACAMENTO DA MALHA = 10 X 10 CM</t>
  </si>
  <si>
    <t>103683-adapt*</t>
  </si>
  <si>
    <t>FABRICAÇÃO DE ESCORAS DE VIGA DO TIPO GARFO, EM MADEIRA</t>
  </si>
  <si>
    <t>LAJE EM CONCRETO ARMADO PARA PISO, INCLUSIVE FORMAS E ESCORAMENTOS, ESPESSURA DA LAJE 25 CM, INCLUINDO TELA DE ACO SOLDADA NERVURADA, CA-60, Q-283 (4,48 KG/M2) LARGURA = 2,45 X 6,00 M DE COMPRIMENTO, ESPACAMENTO DA MALHA = 10 X 10 CM, DIAMETRO DO FIO = 6,0 MM ,COM CONCRETO FCK=30MPA</t>
  </si>
  <si>
    <t>CONCRETAGEM DA LAJE, FCK 30 MPA, PARA ESPESSURA DE 25 CM - LANÇAMENTO, ADENSAMENTO E ACABAMENTO</t>
  </si>
  <si>
    <t>4.5</t>
  </si>
  <si>
    <t>4.4</t>
  </si>
  <si>
    <t>3.1.1</t>
  </si>
  <si>
    <t>3.1.2</t>
  </si>
  <si>
    <t>3.1.3</t>
  </si>
  <si>
    <t>3.1.4</t>
  </si>
  <si>
    <t>3.1.5</t>
  </si>
  <si>
    <t>3.1.6</t>
  </si>
  <si>
    <t>3.2.1</t>
  </si>
  <si>
    <t>3.2.2</t>
  </si>
  <si>
    <t>3.2.3</t>
  </si>
  <si>
    <t>3.2.4</t>
  </si>
  <si>
    <t>3.2.5</t>
  </si>
  <si>
    <t>3.3.1</t>
  </si>
  <si>
    <t>3.3.2</t>
  </si>
  <si>
    <t>3.3.3</t>
  </si>
  <si>
    <t>3.3.4</t>
  </si>
  <si>
    <t>3.3.5</t>
  </si>
  <si>
    <t>3.4.1</t>
  </si>
  <si>
    <t>3.4.2</t>
  </si>
  <si>
    <t>3.4.3</t>
  </si>
  <si>
    <t>3.4.4</t>
  </si>
  <si>
    <t>3.5.1</t>
  </si>
  <si>
    <t>3.5.2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</si>
  <si>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</si>
  <si>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</si>
  <si>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</si>
  <si>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</si>
  <si>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</si>
  <si>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</si>
  <si>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</si>
  <si>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</si>
  <si>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</si>
  <si>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</si>
  <si>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</si>
  <si>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4.3.1</t>
  </si>
  <si>
    <t>4.3.2</t>
  </si>
  <si>
    <t>4.3.3</t>
  </si>
  <si>
    <t>4.3.4</t>
  </si>
  <si>
    <t>4.3.5</t>
  </si>
  <si>
    <t>4.4.1</t>
  </si>
  <si>
    <t>4.4.2</t>
  </si>
  <si>
    <t>4.4.3</t>
  </si>
  <si>
    <t>4.4.4</t>
  </si>
  <si>
    <t>4.5.1</t>
  </si>
  <si>
    <t>4.5.2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</si>
  <si>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</si>
  <si>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</si>
  <si>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</si>
  <si>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</si>
  <si>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</si>
  <si>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</si>
  <si>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</si>
  <si>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</si>
  <si>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</si>
  <si>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</si>
  <si>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</si>
  <si>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5.3</t>
  </si>
  <si>
    <t>5.3.1</t>
  </si>
  <si>
    <t>5.3.2</t>
  </si>
  <si>
    <t>5.3.3</t>
  </si>
  <si>
    <t>5.3.4</t>
  </si>
  <si>
    <t>5.3.5</t>
  </si>
  <si>
    <t>5.4</t>
  </si>
  <si>
    <t>5.4.1</t>
  </si>
  <si>
    <t>5.4.2</t>
  </si>
  <si>
    <t>5.4.3</t>
  </si>
  <si>
    <t>5.4.4</t>
  </si>
  <si>
    <t>5.5</t>
  </si>
  <si>
    <t>5.5.1</t>
  </si>
  <si>
    <t>5.5.2</t>
  </si>
  <si>
    <t>6.1</t>
  </si>
  <si>
    <t>6.1.1</t>
  </si>
  <si>
    <t>6.1.2</t>
  </si>
  <si>
    <t>6.1.3</t>
  </si>
  <si>
    <t>6.1.4</t>
  </si>
  <si>
    <t>6.1.5</t>
  </si>
  <si>
    <t>6.1.6</t>
  </si>
  <si>
    <t>6.2</t>
  </si>
  <si>
    <t>6.2.1</t>
  </si>
  <si>
    <t>6.2.2</t>
  </si>
  <si>
    <t>6.2.3</t>
  </si>
  <si>
    <t>6.2.4</t>
  </si>
  <si>
    <t>6.2.5</t>
  </si>
  <si>
    <t>6.3</t>
  </si>
  <si>
    <t>6.3.1</t>
  </si>
  <si>
    <t>6.3.2</t>
  </si>
  <si>
    <t>6.3.3</t>
  </si>
  <si>
    <t>6.3.4</t>
  </si>
  <si>
    <t>6.3.5</t>
  </si>
  <si>
    <t>6.4</t>
  </si>
  <si>
    <t>6.4.1</t>
  </si>
  <si>
    <t>6.4.2</t>
  </si>
  <si>
    <t>6.4.3</t>
  </si>
  <si>
    <t>6.4.4</t>
  </si>
  <si>
    <t>6.5</t>
  </si>
  <si>
    <t>6.5.1</t>
  </si>
  <si>
    <t>6.5.2</t>
  </si>
  <si>
    <t>7.1</t>
  </si>
  <si>
    <t>7.1.1</t>
  </si>
  <si>
    <t>7.1.2</t>
  </si>
  <si>
    <t>7.1.3</t>
  </si>
  <si>
    <t>7.1.4</t>
  </si>
  <si>
    <t>7.1.5</t>
  </si>
  <si>
    <t>7.1.6</t>
  </si>
  <si>
    <t>7.2</t>
  </si>
  <si>
    <t>7.2.1</t>
  </si>
  <si>
    <t>7.2.2</t>
  </si>
  <si>
    <t>7.2.3</t>
  </si>
  <si>
    <t>7.2.4</t>
  </si>
  <si>
    <t>7.2.5</t>
  </si>
  <si>
    <t>7.3</t>
  </si>
  <si>
    <t>7.3.1</t>
  </si>
  <si>
    <t>7.3.2</t>
  </si>
  <si>
    <t>7.3.3</t>
  </si>
  <si>
    <t>7.3.4</t>
  </si>
  <si>
    <t>7.3.5</t>
  </si>
  <si>
    <t>7.4</t>
  </si>
  <si>
    <t>7.4.1</t>
  </si>
  <si>
    <t>7.4.2</t>
  </si>
  <si>
    <t>7.4.3</t>
  </si>
  <si>
    <t>7.4.4</t>
  </si>
  <si>
    <t>7.5</t>
  </si>
  <si>
    <t>7.5.1</t>
  </si>
  <si>
    <t>7.5.2</t>
  </si>
  <si>
    <t>8.1</t>
  </si>
  <si>
    <t>8.1.1</t>
  </si>
  <si>
    <t>8.1.2</t>
  </si>
  <si>
    <t>8.1.3</t>
  </si>
  <si>
    <t>8.1.4</t>
  </si>
  <si>
    <t>8.1.5</t>
  </si>
  <si>
    <t>8.1.6</t>
  </si>
  <si>
    <t>8.2</t>
  </si>
  <si>
    <t>8.2.1</t>
  </si>
  <si>
    <t>8.2.2</t>
  </si>
  <si>
    <t>8.2.3</t>
  </si>
  <si>
    <t>8.2.4</t>
  </si>
  <si>
    <t>8.2.5</t>
  </si>
  <si>
    <t>8.3</t>
  </si>
  <si>
    <t>8.3.1</t>
  </si>
  <si>
    <t>8.3.2</t>
  </si>
  <si>
    <t>8.3.3</t>
  </si>
  <si>
    <t>8.3.4</t>
  </si>
  <si>
    <t>8.3.5</t>
  </si>
  <si>
    <t>8.4</t>
  </si>
  <si>
    <t>8.4.1</t>
  </si>
  <si>
    <t>8.4.2</t>
  </si>
  <si>
    <t>8.4.3</t>
  </si>
  <si>
    <t>8.4.4</t>
  </si>
  <si>
    <t>8.5</t>
  </si>
  <si>
    <t>8.5.1</t>
  </si>
  <si>
    <t>8.5.2</t>
  </si>
  <si>
    <t>9.1</t>
  </si>
  <si>
    <t>9.1.1</t>
  </si>
  <si>
    <t>9.1.2</t>
  </si>
  <si>
    <t>9.1.3</t>
  </si>
  <si>
    <t>9.1.4</t>
  </si>
  <si>
    <t>9.1.5</t>
  </si>
  <si>
    <t>9.1.6</t>
  </si>
  <si>
    <t>9.2</t>
  </si>
  <si>
    <t>9.2.1</t>
  </si>
  <si>
    <t>9.2.2</t>
  </si>
  <si>
    <t>9.2.3</t>
  </si>
  <si>
    <t>9.2.4</t>
  </si>
  <si>
    <t>9.2.5</t>
  </si>
  <si>
    <t>9.3</t>
  </si>
  <si>
    <t>9.3.1</t>
  </si>
  <si>
    <t>9.3.2</t>
  </si>
  <si>
    <t>9.3.3</t>
  </si>
  <si>
    <t>9.3.4</t>
  </si>
  <si>
    <t>9.3.5</t>
  </si>
  <si>
    <t>9.4</t>
  </si>
  <si>
    <t>9.4.1</t>
  </si>
  <si>
    <t>9.4.2</t>
  </si>
  <si>
    <t>9.4.3</t>
  </si>
  <si>
    <t>9.4.4</t>
  </si>
  <si>
    <t>9.5</t>
  </si>
  <si>
    <t>9.5.1</t>
  </si>
  <si>
    <t>9.5.2</t>
  </si>
  <si>
    <t>10.1</t>
  </si>
  <si>
    <t>10.1.1</t>
  </si>
  <si>
    <t>10.1.2</t>
  </si>
  <si>
    <t>10.1.3</t>
  </si>
  <si>
    <t>10.1.4</t>
  </si>
  <si>
    <t>10.1.5</t>
  </si>
  <si>
    <t>10.1.6</t>
  </si>
  <si>
    <t>10.2</t>
  </si>
  <si>
    <t>10.2.1</t>
  </si>
  <si>
    <t>10.2.2</t>
  </si>
  <si>
    <t>10.2.3</t>
  </si>
  <si>
    <t>10.2.4</t>
  </si>
  <si>
    <t>10.2.5</t>
  </si>
  <si>
    <t>10.3</t>
  </si>
  <si>
    <t>10.3.1</t>
  </si>
  <si>
    <t>10.3.2</t>
  </si>
  <si>
    <t>10.3.3</t>
  </si>
  <si>
    <t>10.3.4</t>
  </si>
  <si>
    <t>10.3.5</t>
  </si>
  <si>
    <t>10.4</t>
  </si>
  <si>
    <t>10.4.1</t>
  </si>
  <si>
    <t>10.4.2</t>
  </si>
  <si>
    <t>10.4.3</t>
  </si>
  <si>
    <t>10.4.4</t>
  </si>
  <si>
    <t>10.5</t>
  </si>
  <si>
    <t>10.5.1</t>
  </si>
  <si>
    <t>10.5.2</t>
  </si>
  <si>
    <t>0,4% a 1,60%</t>
  </si>
  <si>
    <t>AUXILIAR TÉCNICO DE ENGENHARIA COM ENCARGOS COMPLEMENTARES</t>
  </si>
  <si>
    <t>Memória de Cálculo - Serviços Preliminares</t>
  </si>
  <si>
    <t>4% a 6%</t>
  </si>
  <si>
    <t>Povoado Baixão dos Julios 19,00 m x 3,50 m</t>
  </si>
  <si>
    <t>Povoado Santa Maria 24,00 m x 3,20 m</t>
  </si>
  <si>
    <t>Santo Inácio 55,00 m x 3,00 m</t>
  </si>
  <si>
    <t>Sucuruju 10,00 m x 3,40 m</t>
  </si>
  <si>
    <t>Cedro 25,00 m x 3,00 m</t>
  </si>
  <si>
    <t>Anibal 15,00 m x 3,00 m</t>
  </si>
  <si>
    <t>Massangano I 20,00 m x 3,00 m</t>
  </si>
  <si>
    <t>Construção de Ponte em Trilho TR68 - Povoado Santa Rosa 17,00 m x 4,00 m</t>
  </si>
  <si>
    <t>CONSTRUÇÃO DE PONTE NO POVOADOSANTA ROSA - 17,00 m x 4,00 m</t>
  </si>
  <si>
    <t>Construção de Ponte em Trilho TR68 - Baixão dos Julios 19,00 m x 3,50 m</t>
  </si>
  <si>
    <t>CONSTRUÇÃO DE PONTE NO POV. BAIXÃO DOS JÚLIOS - 19,00 m x 3,50 m</t>
  </si>
  <si>
    <t>Construção de Ponte em Trilho TR68 - Santa Maria 24,00 m x 3,20 m</t>
  </si>
  <si>
    <t>CONSTRUÇÃO DE PONTE NO POV. SANTA MARIA - 24,00 m x 3,20 m</t>
  </si>
  <si>
    <t>Construção de Ponte em Trilho TR68 - Piquizeiro 67,00 m x 3,00 m</t>
  </si>
  <si>
    <t>CONSTRUÇÃO DE PONTE NO POV. PIQUIZEIRO - 67,00 m x 3,00 m</t>
  </si>
  <si>
    <t>Construção de Ponte em Trilho TR68 - Santo Inácio 55,00 m x 3,00 m</t>
  </si>
  <si>
    <t>CONSTRUÇÃO DE PONTE NO POV. SANTO INÁCIO - 55,00 m x 3,00 m</t>
  </si>
  <si>
    <t>Construção de Ponte em Trilho TR68 - Sucuruju 10,00 m x 3,40 m</t>
  </si>
  <si>
    <t>CONSTRUÇÃO DE PONTE NO POV. SUCURUJU - 10,00 m x 3,40 m</t>
  </si>
  <si>
    <t>Construção de Ponte em Trilho TR68 - Cedro 25,00 m x 3,00 m</t>
  </si>
  <si>
    <t>CONSTRUÇÃO DE PONTE NO POV. CEDRO - 25,00 m x 3,40 m</t>
  </si>
  <si>
    <t>Construção de Ponte em Trilho TR68 - Anibal 15,00 m x 3,00 m</t>
  </si>
  <si>
    <t>CONSTRUÇÃO DE PONTE NO POV. ANIBAL - 15,00 m x 3,00 m</t>
  </si>
  <si>
    <t>Construção de Ponte em Trilho TR68 - Massagano I 20,00 m x 3,00 m</t>
  </si>
  <si>
    <t>CONSTRUÇÃO DE PONTE NO POV. MASSAGANO I - 20,00 m x 3,00 m</t>
  </si>
  <si>
    <t>OBRA: CONSTRUÇÃO DE PONTE EM TRILHO TR68</t>
  </si>
  <si>
    <t>Construção de Ponte em Trilho TR68 - Bacabal 11,00 m x 3,00 m</t>
  </si>
  <si>
    <t>Planilha Orçamentária - Bacabal</t>
  </si>
  <si>
    <t>CONSTRUÇÃO DE PONTE NO POV. BACABAL - 11,00 m x 3,00 m</t>
  </si>
  <si>
    <t>Memória de Cálculo - Bacabal</t>
  </si>
  <si>
    <t>bacabal</t>
  </si>
  <si>
    <t>CABECEIRAS</t>
  </si>
  <si>
    <t>Bacabal 11,00 m x 3,00 m</t>
  </si>
  <si>
    <t>Construção de Ponte em Trilho TR68 - São José das Varas 18,50 m x 4,00 m</t>
  </si>
  <si>
    <t>Planilha Orçamentária - Povoado São José das Varas</t>
  </si>
  <si>
    <t>CONSTRUÇÃO DE PONTE NO POVOADO SÃO JOSÉ DAS VARAS - 18,50 m x 4,00 m</t>
  </si>
  <si>
    <t>Memória de Cálculo - Povoado São José das Varas</t>
  </si>
  <si>
    <t>s. j. das varas</t>
  </si>
  <si>
    <t>São José das Varas 18,50 m x 4,00 m</t>
  </si>
  <si>
    <t>Construção de Ponte em Trilho TR68 - Varas 21,60 m x 3,50 m</t>
  </si>
  <si>
    <t>Planilha Orçamentária - Varas</t>
  </si>
  <si>
    <t>CONSTRUÇÃO DE PONTE NO VARAS - 21,60 m x 3,50 m</t>
  </si>
  <si>
    <t>Memória de Cálculo - Varas</t>
  </si>
  <si>
    <t>varas</t>
  </si>
  <si>
    <t>cabeceiras</t>
  </si>
  <si>
    <t>Varas 21,60 m x 3,50 m</t>
  </si>
  <si>
    <t>Construção de Ponte em Trilho TR68 - Mamede 9,00 m x 3,00 m</t>
  </si>
  <si>
    <t>Planilha Orçamentária - Mamede</t>
  </si>
  <si>
    <t>CONSTRUÇÃO DE PONTE NO POV. MAMEDE - 9,00 m x 3,00 m</t>
  </si>
  <si>
    <t>Memória de Cálculo - Mamede</t>
  </si>
  <si>
    <t>mamede</t>
  </si>
  <si>
    <t>Mamede 9,00 m x 3,00 m</t>
  </si>
  <si>
    <t>M1606</t>
  </si>
  <si>
    <t>PONTES DE MADEIRA</t>
  </si>
  <si>
    <t>baixao dos julios</t>
  </si>
  <si>
    <t>santo inacio</t>
  </si>
  <si>
    <t>cedro</t>
  </si>
  <si>
    <t>LEVANTAMENTO DE DADOS</t>
  </si>
  <si>
    <t>Área seção da ala</t>
  </si>
  <si>
    <t>Extensão da ponte</t>
  </si>
  <si>
    <t>Largura da ponte (TRANSVERSINAS)</t>
  </si>
  <si>
    <t>Altura da infraestrutura (ESTACAS)</t>
  </si>
  <si>
    <t>Altura da mesoestrutura (PILARES)</t>
  </si>
  <si>
    <t>Empolamento material laterítico</t>
  </si>
  <si>
    <t>Peso específico material laterítico</t>
  </si>
  <si>
    <r>
      <t>t/m</t>
    </r>
    <r>
      <rPr>
        <i/>
        <sz val="11"/>
        <color theme="1"/>
        <rFont val="Calibri Light"/>
        <family val="2"/>
      </rPr>
      <t>³</t>
    </r>
  </si>
  <si>
    <t>Peso específico madeira</t>
  </si>
  <si>
    <t>QUANTITATIVOS</t>
  </si>
  <si>
    <t>COMPR.</t>
  </si>
  <si>
    <t>ESPES.</t>
  </si>
  <si>
    <t>ALT.</t>
  </si>
  <si>
    <t>VOL.</t>
  </si>
  <si>
    <t>EMPOL.</t>
  </si>
  <si>
    <t>PE.</t>
  </si>
  <si>
    <t>P. ESP.</t>
  </si>
  <si>
    <t>ST</t>
  </si>
  <si>
    <t>LARG: largura; COMPR: Comprimento/Extensão; ESPES: Espessura; ALT: Altura; A: Área; VOL: Volume; EMPOL: Empolamento; PE: Peso; P. ESP: Peso específico; QUANT: Quantidade; ST: Subtotal</t>
  </si>
  <si>
    <t>Placa de obra em aço galvanizado, com dimensões 3,00 x 2,00 m</t>
  </si>
  <si>
    <t>Administração Local da Obra</t>
  </si>
  <si>
    <t>Barracão de Obra</t>
  </si>
  <si>
    <t>t.km</t>
  </si>
  <si>
    <t>Volume trazido pela qtd de projeto</t>
  </si>
  <si>
    <t>DMT</t>
  </si>
  <si>
    <t>II</t>
  </si>
  <si>
    <t>SERVIÇOS DE TERRAPLENAGEM</t>
  </si>
  <si>
    <t>Escavação e carga de material de jazida</t>
  </si>
  <si>
    <t>LADOS</t>
  </si>
  <si>
    <t>Transporte local c/ basc. 10m³ rodov. Não pav.</t>
  </si>
  <si>
    <t>Desm. dest. limpeza áreas c/arv. diam. até 0,15 m</t>
  </si>
  <si>
    <t>III</t>
  </si>
  <si>
    <t>IV</t>
  </si>
  <si>
    <t>V</t>
  </si>
  <si>
    <t>5.6</t>
  </si>
  <si>
    <t>VI</t>
  </si>
  <si>
    <t>ALAS</t>
  </si>
  <si>
    <t>Confecção e instalação de alas de madeira (LATERAL)</t>
  </si>
  <si>
    <t>Confecção e instalação de alas de madeira (CAIXÃO DE TESTA)</t>
  </si>
  <si>
    <t>CÂNDIDO MENDES - MA</t>
  </si>
  <si>
    <t>Conceição de Lago Açu - MA</t>
  </si>
  <si>
    <t>Objeto: CONSTRUÇÃO DE PONTE DE MADEIRA NO MUNICÍPIO DE PRIMEIRA CRUZ-MA</t>
  </si>
  <si>
    <t>Localidade: Ponte APARECIDA</t>
  </si>
  <si>
    <t>BDI: 23,21%</t>
  </si>
  <si>
    <t>Proponente: PREFEITURA MUNICIPAL DE PRIMEIRA CRUZ/MA</t>
  </si>
  <si>
    <t xml:space="preserve">Encargos Sociais: 113,85% e 71,98% </t>
  </si>
  <si>
    <t xml:space="preserve">Data Ref.: </t>
  </si>
  <si>
    <t>EXTENSÃO DA PONTE(M):</t>
  </si>
  <si>
    <t>LARGURA (M):</t>
  </si>
  <si>
    <t>VÃO ENTRE CADA LINHA (M):</t>
  </si>
  <si>
    <t>TOTAL DE LINHAS(und)</t>
  </si>
  <si>
    <t>TOTAL DE VÃOS (und)</t>
  </si>
  <si>
    <t>TOTAL DE ALAS/CABECEIRAS (und)</t>
  </si>
  <si>
    <t>POR LINHA D'ÁGUA</t>
  </si>
  <si>
    <t>INFRAESTRUTURA</t>
  </si>
  <si>
    <t>DIMENSÃO (cm)</t>
  </si>
  <si>
    <t>TOTAL (m)</t>
  </si>
  <si>
    <t>TOTAL (m3)</t>
  </si>
  <si>
    <t>FERRAGEM:</t>
  </si>
  <si>
    <t>ESTACAS</t>
  </si>
  <si>
    <t>30x30</t>
  </si>
  <si>
    <t>LINHA D'ÁGUA</t>
  </si>
  <si>
    <t>20x8</t>
  </si>
  <si>
    <t>MESOESTRUTURA</t>
  </si>
  <si>
    <t>PILAR</t>
  </si>
  <si>
    <t>CONTRAVENTAMENTO</t>
  </si>
  <si>
    <t>TRANSVERSINA</t>
  </si>
  <si>
    <t>BALANCIM</t>
  </si>
  <si>
    <t>EXTENSÃO DA PONTE</t>
  </si>
  <si>
    <t>LONGARINA</t>
  </si>
  <si>
    <t>GUARDA CORPO</t>
  </si>
  <si>
    <t>RODAPÉ (GUARDA-CORPO)</t>
  </si>
  <si>
    <t>CORRIMÃO (GUARDA-CORPO)</t>
  </si>
  <si>
    <t>10x7</t>
  </si>
  <si>
    <t>PONTALETE MENOR (GUARDA-CORPO)</t>
  </si>
  <si>
    <t>10x10</t>
  </si>
  <si>
    <t>PONTALETE MAIOR (GUARDA-CORPO)</t>
  </si>
  <si>
    <t>PRANCHÃO</t>
  </si>
  <si>
    <t>20x6</t>
  </si>
  <si>
    <t>DESLIZANTE</t>
  </si>
  <si>
    <t>CABECEIRA/ALA</t>
  </si>
  <si>
    <t>CABECEIRAS E ALAS DE CONCRETO</t>
  </si>
  <si>
    <t>ARRIMO</t>
  </si>
  <si>
    <t>COMP. ESTIMADO (m)</t>
  </si>
  <si>
    <t>ESPESSURA (cm)</t>
  </si>
  <si>
    <t>ESCORA</t>
  </si>
  <si>
    <t>20x20</t>
  </si>
  <si>
    <t>BASE ALA</t>
  </si>
  <si>
    <t>BASE TESTA</t>
  </si>
  <si>
    <t>LATERAL</t>
  </si>
  <si>
    <t>TESTA</t>
  </si>
  <si>
    <t>CONCRETO TOTAL:</t>
  </si>
  <si>
    <t>VOLUME DO TOTAL DE MADEIRA</t>
  </si>
  <si>
    <t>ESCAVAÇÃO DAS CABECEIRAS E ALAS</t>
  </si>
  <si>
    <t>EMPOLAMENTO 25%</t>
  </si>
  <si>
    <t>PERÍMETRO (m)</t>
  </si>
  <si>
    <t>TOTAL (m2)</t>
  </si>
  <si>
    <t>PONTES, POR EXEMPLO</t>
  </si>
  <si>
    <t>M2 - ALAS P/ 5 PONTES</t>
  </si>
  <si>
    <t>M2 - TESTAS P/ 5 PONTES</t>
  </si>
  <si>
    <t>REFORMA E CONSTRUÇÃO DE PONTES DE MADEIRA NO MUNICÍPIO DE BARREIRINHAS</t>
  </si>
  <si>
    <t xml:space="preserve">SINAPI - 12/2022 - Maranhão
SICRO3 - 10/2022 - Maranhão
ORSE - 10/2022 - Sergipe
SEINFRA - 027 - Ceará
</t>
  </si>
  <si>
    <t xml:space="preserve"> 3 </t>
  </si>
  <si>
    <t xml:space="preserve"> 3.1 </t>
  </si>
  <si>
    <t>TRANSPORTE</t>
  </si>
  <si>
    <t xml:space="preserve"> 3.1.1 </t>
  </si>
  <si>
    <t xml:space="preserve"> 10052136 </t>
  </si>
  <si>
    <t>TRANSPORTE LOCAL DE MADEIRA</t>
  </si>
  <si>
    <t>tkm</t>
  </si>
  <si>
    <t xml:space="preserve"> 3.2 </t>
  </si>
  <si>
    <t xml:space="preserve"> 3.2.1 </t>
  </si>
  <si>
    <t xml:space="preserve"> 68975 </t>
  </si>
  <si>
    <t>Confecção e instalação de estacas de madeira</t>
  </si>
  <si>
    <t xml:space="preserve"> 3.2.2 </t>
  </si>
  <si>
    <t xml:space="preserve"> 68976 </t>
  </si>
  <si>
    <t>Confecção e instalação de linha d</t>
  </si>
  <si>
    <t xml:space="preserve"> 3.2.3 </t>
  </si>
  <si>
    <t xml:space="preserve"> 00000030 </t>
  </si>
  <si>
    <t>Fornecimento, transporte e colocação de ferragens</t>
  </si>
  <si>
    <t xml:space="preserve"> 3.3 </t>
  </si>
  <si>
    <t xml:space="preserve"> 3.3.1 </t>
  </si>
  <si>
    <t xml:space="preserve"> 68977 </t>
  </si>
  <si>
    <t>Confecção e instalação dos pilares de madeira</t>
  </si>
  <si>
    <t xml:space="preserve"> 3.3.2 </t>
  </si>
  <si>
    <t xml:space="preserve"> 68978 </t>
  </si>
  <si>
    <t>Confecção e instalação dos contraventamentos de madeira</t>
  </si>
  <si>
    <t xml:space="preserve"> 3.3.3 </t>
  </si>
  <si>
    <t xml:space="preserve"> 68979 </t>
  </si>
  <si>
    <t>Confecção e instalação de transversinas de madeira</t>
  </si>
  <si>
    <t xml:space="preserve"> 3.3.4 </t>
  </si>
  <si>
    <t xml:space="preserve"> 68980 </t>
  </si>
  <si>
    <t>Confecção e instalação de balancim de madeira</t>
  </si>
  <si>
    <t xml:space="preserve"> 3.3.5 </t>
  </si>
  <si>
    <t xml:space="preserve"> 3.4 </t>
  </si>
  <si>
    <t xml:space="preserve"> 3.4.1 </t>
  </si>
  <si>
    <t xml:space="preserve"> 68981 </t>
  </si>
  <si>
    <t>Confecção e instalação de longarinas de madeira</t>
  </si>
  <si>
    <t xml:space="preserve"> 3.4.2 </t>
  </si>
  <si>
    <t xml:space="preserve"> 68982 </t>
  </si>
  <si>
    <t>Confecção e instalação rodapé de madeira</t>
  </si>
  <si>
    <t xml:space="preserve"> 3.4.3 </t>
  </si>
  <si>
    <t xml:space="preserve"> 68983 </t>
  </si>
  <si>
    <t>Confecção e instalação corrimão de madeira</t>
  </si>
  <si>
    <t xml:space="preserve"> 3.4.4 </t>
  </si>
  <si>
    <t xml:space="preserve"> 68984 </t>
  </si>
  <si>
    <t>Confecção e instalação pontalete menor de madeira</t>
  </si>
  <si>
    <t xml:space="preserve"> 3.4.5 </t>
  </si>
  <si>
    <t xml:space="preserve"> 68985 </t>
  </si>
  <si>
    <t>Confecção e instalação pontalete maior de madeira</t>
  </si>
  <si>
    <t xml:space="preserve"> 3.4.6 </t>
  </si>
  <si>
    <t xml:space="preserve"> 68986 </t>
  </si>
  <si>
    <t>Confecção e instalação pranchão de madeira</t>
  </si>
  <si>
    <t xml:space="preserve"> 3.4.7 </t>
  </si>
  <si>
    <t xml:space="preserve"> 3.4.8 </t>
  </si>
  <si>
    <t xml:space="preserve"> 3.5 </t>
  </si>
  <si>
    <t xml:space="preserve"> 3.5.1 </t>
  </si>
  <si>
    <t xml:space="preserve"> 101139 </t>
  </si>
  <si>
    <t>ESCAVAÇÃO HORIZONTAL, INCLUINDO  ESCARIFICAÇÃO, CARGA, DESCARGA E TRANSPORTE EM SOLO DE 2A CATEGORIA COM TRATOR DE ESTEIRAS (100HP/LÂMINA: 2,19M3) E CAMINHÃO BASCULANTE DE 10M3, DMT ATÉ 200M. AF_07/2020</t>
  </si>
  <si>
    <t xml:space="preserve"> 3.5.2 </t>
  </si>
  <si>
    <t xml:space="preserve"> 68987 </t>
  </si>
  <si>
    <t>Confecção e instalação alas de madeira</t>
  </si>
  <si>
    <t xml:space="preserve"> 3.5.3 </t>
  </si>
  <si>
    <t>Confecção e instalação testas de madeira</t>
  </si>
  <si>
    <t>Tipo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</si>
  <si>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</si>
  <si>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</si>
  <si>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</si>
  <si>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</si>
  <si>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</si>
  <si>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Quantidade</t>
  </si>
  <si>
    <t>Unidade</t>
  </si>
  <si>
    <t>Preço Unitário</t>
  </si>
  <si>
    <t>CAMINHÃO TOCO, PBT 14.300 KG, CARGA ÚTIL MÁX. 9.710 KG, DIST. ENTRE EIXOS 3,56 M, POTÊNCIA 185 CV, INCLUSIVE CARROCERIA FIXA ABERTA DE MADEIRA P/ TRANSPORTE GERAL DE CARGA SECA, DIMEN. APROX. 2,50 X 6,50 X 0,50 M - CHP DIURNO. AF_06/2014</t>
  </si>
  <si>
    <t>SEDI - SERVIÇOS DIVERSOS</t>
  </si>
  <si>
    <t xml:space="preserve"> 3602 </t>
  </si>
  <si>
    <t>Madeira angelin vermelho, serrada, aparelhada em dimensões e comprimentos pré-estabelecidos</t>
  </si>
  <si>
    <t>Madeiramento</t>
  </si>
  <si>
    <t xml:space="preserve"> E9726 </t>
  </si>
  <si>
    <t>Bate-estaca Strauss - 15 kW</t>
  </si>
  <si>
    <t>Equipamento</t>
  </si>
  <si>
    <t xml:space="preserve"> E9055 </t>
  </si>
  <si>
    <t xml:space="preserve"> E9585 </t>
  </si>
  <si>
    <t>Motosserra com motor a gasolina - 2,30 kW</t>
  </si>
  <si>
    <t>Mão de Obra</t>
  </si>
  <si>
    <t>Salário Hora</t>
  </si>
  <si>
    <t>T606</t>
  </si>
  <si>
    <t>SICRO2</t>
  </si>
  <si>
    <t xml:space="preserve">Ferreiro </t>
  </si>
  <si>
    <t>T701</t>
  </si>
  <si>
    <t xml:space="preserve">Servente </t>
  </si>
  <si>
    <t>T501</t>
  </si>
  <si>
    <t>Custo Horário da Mão de Obra =&gt;</t>
  </si>
  <si>
    <t>Material</t>
  </si>
  <si>
    <t>AM05</t>
  </si>
  <si>
    <t xml:space="preserve">Aço D=10 mm CA 50 </t>
  </si>
  <si>
    <t>ASTU - ASSENTAMENTO DE TUBOS E PECAS</t>
  </si>
  <si>
    <t>Importancia de: Seis milhões, dezesseis mil, seiscentos e vinte e oito reais e dezesseis centavos.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</si>
  <si>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</si>
  <si>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</si>
  <si>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</si>
  <si>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</si>
  <si>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</si>
  <si>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</si>
  <si>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</si>
  <si>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</si>
  <si>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</si>
  <si>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</si>
  <si>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</si>
  <si>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SINAPI - 12/2022 - Maranhão
SICRO3 - 10/2022 - Maranhão
ORSE - 10/2022 - Sergipe
SEINFRA - 027 - Ceará</t>
  </si>
  <si>
    <t xml:space="preserve">SERVIÇOS PRELIMINARES </t>
  </si>
  <si>
    <t>TOTAL GERAL:</t>
  </si>
  <si>
    <t>Acumulado - Porcentagem:</t>
  </si>
  <si>
    <t>Acumulado - Custo:</t>
  </si>
  <si>
    <t>Custo:</t>
  </si>
  <si>
    <t>Porcentagem:</t>
  </si>
  <si>
    <t xml:space="preserve">REFORMA E CONSTRUÇÃO DE PONTES DE MADEIRA </t>
  </si>
  <si>
    <t>Confecção e instalação deslizantes de madeira</t>
  </si>
  <si>
    <t>Construção de Pontes Metálicas e Pontes de Madeira no município de Barreirinhas/MA</t>
  </si>
  <si>
    <t>RESUMO</t>
  </si>
  <si>
    <t>PONTES METÁLICAS</t>
  </si>
  <si>
    <t>CONSTRUÇÃO DE PONTES METÁLICAS</t>
  </si>
  <si>
    <t>CONTENÇÃO EM CONCRETO ARMADO E ESTACAS (INFRA E MESO)</t>
  </si>
  <si>
    <t>OBRA: Construção de Pontes Metálicas e Pontes de Madeira no município de Barreirinhas/MA</t>
  </si>
  <si>
    <t>Planilha Orçamentária Sintética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</si>
</sst>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&quot;-&quot;??_);_(@_)"/>
    <numFmt numFmtId="166" formatCode="0.00;[Red]0.00"/>
    <numFmt numFmtId="167" formatCode="#,##0.0000000"/>
    <numFmt numFmtId="168" formatCode="#,##0.0000"/>
    <numFmt numFmtId="169" formatCode="0.0000%"/>
    <numFmt numFmtId="170" formatCode="#,##0.00\ %"/>
    <numFmt numFmtId="171" formatCode="0.000000"/>
    <numFmt numFmtId="172" formatCode="0.0000"/>
    <numFmt numFmtId="173" formatCode="#,##0.00000"/>
    <numFmt numFmtId="174" formatCode="_-&quot;R$&quot;\ * #,##0.0000_-;\-&quot;R$&quot;\ * #,##0.0000_-;_-&quot;R$&quot;\ * &quot;-&quot;??_-;_-@_-"/>
    <numFmt numFmtId="175" formatCode="0.000"/>
  </numFmts>
  <fonts count="69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9"/>
      <color indexed="8"/>
      <name val="Bookman Old Style"/>
      <family val="1"/>
    </font>
    <font>
      <b/>
      <sz val="9"/>
      <color indexed="8"/>
      <name val="Bookman Old Style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Arial"/>
      <family val="1"/>
    </font>
    <font>
      <b/>
      <sz val="11"/>
      <name val="Arial"/>
      <family val="1"/>
    </font>
    <font>
      <sz val="11"/>
      <color theme="1"/>
      <name val="Calibri"/>
      <family val="2"/>
      <charset val="134"/>
      <scheme val="minor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8"/>
      <name val="Calibri"/>
      <family val="2"/>
    </font>
    <font>
      <b/>
      <sz val="9"/>
      <name val="Arial"/>
      <family val="2"/>
    </font>
    <font>
      <b/>
      <sz val="8"/>
      <name val="Calibri"/>
      <family val="2"/>
    </font>
    <font>
      <b/>
      <sz val="11"/>
      <name val="Calibri"/>
      <family val="2"/>
    </font>
    <font>
      <b/>
      <sz val="9"/>
      <color indexed="8"/>
      <name val="Arial"/>
      <family val="2"/>
    </font>
    <font>
      <sz val="10"/>
      <name val="Calibri"/>
      <family val="2"/>
    </font>
    <font>
      <sz val="9"/>
      <name val="Arial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color theme="1"/>
      <name val="Georgia"/>
      <family val="1"/>
    </font>
    <font>
      <b/>
      <sz val="11"/>
      <color indexed="8"/>
      <name val="Calibri"/>
      <family val="2"/>
    </font>
    <font>
      <sz val="10"/>
      <color rgb="FF000000"/>
      <name val="Times New Roman"/>
      <family val="1"/>
    </font>
    <font>
      <sz val="12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i/>
      <sz val="12"/>
      <color theme="1"/>
      <name val="Calibri Light"/>
      <family val="1"/>
      <scheme val="major"/>
    </font>
    <font>
      <sz val="12"/>
      <name val="Calibri Light"/>
      <family val="1"/>
      <scheme val="major"/>
    </font>
    <font>
      <b/>
      <sz val="12"/>
      <name val="Calibri Light"/>
      <family val="1"/>
      <scheme val="major"/>
    </font>
    <font>
      <b/>
      <sz val="12"/>
      <color indexed="8"/>
      <name val="Calibri Light"/>
      <family val="1"/>
      <scheme val="major"/>
    </font>
    <font>
      <b/>
      <i/>
      <sz val="12"/>
      <name val="Calibri Light"/>
      <family val="1"/>
      <scheme val="major"/>
    </font>
    <font>
      <i/>
      <sz val="12"/>
      <color theme="1"/>
      <name val="Calibri Light"/>
      <family val="1"/>
      <scheme val="major"/>
    </font>
    <font>
      <sz val="14"/>
      <color theme="1"/>
      <name val="Calibri Light"/>
      <family val="1"/>
      <scheme val="major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i/>
      <sz val="10"/>
      <color rgb="FF000000"/>
      <name val="Arial"/>
      <family val="2"/>
    </font>
    <font>
      <b/>
      <sz val="12"/>
      <name val="Arial"/>
      <family val="1"/>
    </font>
    <font>
      <sz val="12"/>
      <name val="Arial"/>
      <family val="1"/>
    </font>
    <font>
      <b/>
      <sz val="14"/>
      <name val="Arial"/>
      <family val="1"/>
    </font>
    <font>
      <sz val="14"/>
      <name val="Arial"/>
      <family val="1"/>
    </font>
    <font>
      <sz val="14"/>
      <name val="Arial"/>
      <family val="2"/>
    </font>
    <font>
      <b/>
      <sz val="14"/>
      <name val="Arial"/>
      <family val="2"/>
    </font>
    <font>
      <b/>
      <sz val="12"/>
      <color rgb="FF000000"/>
      <name val="Arial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 Light"/>
      <family val="2"/>
    </font>
    <font>
      <i/>
      <sz val="11"/>
      <color theme="1"/>
      <name val="Calibri Light"/>
      <family val="2"/>
    </font>
    <font>
      <b/>
      <sz val="12"/>
      <color theme="0"/>
      <name val="Calibri"/>
      <family val="2"/>
      <scheme val="minor"/>
    </font>
    <font>
      <b/>
      <sz val="12"/>
      <color theme="0"/>
      <name val="Calibri Light"/>
      <family val="2"/>
    </font>
    <font>
      <b/>
      <sz val="11"/>
      <color theme="1"/>
      <name val="Calibri Light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8ECF6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</borders>
  <cellStyleXfs count="13">
    <xf numFmtId="0" fontId="0" fillId="0" borderId="0"/>
    <xf numFmtId="165" fontId="5" fillId="0" borderId="0" applyFont="0" applyFill="0" applyBorder="0" applyAlignment="0" applyProtection="0"/>
    <xf numFmtId="0" fontId="17" fillId="0" borderId="0"/>
    <xf numFmtId="0" fontId="15" fillId="0" borderId="0" applyNumberFormat="0" applyFill="0" applyBorder="0" applyAlignment="0" applyProtection="0"/>
    <xf numFmtId="0" fontId="19" fillId="0" borderId="0">
      <alignment vertical="center"/>
    </xf>
    <xf numFmtId="0" fontId="15" fillId="0" borderId="0" applyNumberFormat="0" applyFill="0" applyBorder="0" applyAlignment="0" applyProtection="0"/>
    <xf numFmtId="0" fontId="13" fillId="0" borderId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6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3" fillId="0" borderId="0"/>
  </cellStyleXfs>
  <cellXfs count="60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5" borderId="0" xfId="0" applyFont="1" applyFill="1"/>
    <xf numFmtId="164" fontId="1" fillId="2" borderId="0" xfId="0" applyNumberFormat="1" applyFont="1" applyFill="1"/>
    <xf numFmtId="164" fontId="1" fillId="0" borderId="0" xfId="0" applyNumberFormat="1" applyFont="1"/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4" fillId="3" borderId="0" xfId="0" applyFont="1" applyFill="1"/>
    <xf numFmtId="0" fontId="2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165" fontId="8" fillId="0" borderId="1" xfId="1" applyFont="1" applyFill="1" applyBorder="1" applyAlignment="1">
      <alignment horizontal="center" vertical="center" wrapText="1"/>
    </xf>
    <xf numFmtId="165" fontId="8" fillId="0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2" fontId="1" fillId="2" borderId="0" xfId="0" applyNumberFormat="1" applyFont="1" applyFill="1"/>
    <xf numFmtId="2" fontId="2" fillId="4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/>
    <xf numFmtId="2" fontId="1" fillId="0" borderId="0" xfId="0" applyNumberFormat="1" applyFont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165" fontId="11" fillId="2" borderId="0" xfId="1" applyFont="1" applyFill="1" applyAlignment="1">
      <alignment vertical="center" wrapText="1"/>
    </xf>
    <xf numFmtId="165" fontId="11" fillId="2" borderId="0" xfId="1" applyFont="1" applyFill="1" applyAlignment="1">
      <alignment horizontal="center" vertical="center" wrapText="1"/>
    </xf>
    <xf numFmtId="165" fontId="13" fillId="2" borderId="0" xfId="1" applyFont="1" applyFill="1" applyAlignment="1">
      <alignment horizontal="center" vertical="center" wrapText="1"/>
    </xf>
    <xf numFmtId="166" fontId="13" fillId="2" borderId="0" xfId="1" applyNumberFormat="1" applyFont="1" applyFill="1" applyAlignment="1">
      <alignment horizontal="right" vertical="center" wrapText="1"/>
    </xf>
    <xf numFmtId="0" fontId="13" fillId="2" borderId="0" xfId="0" applyFont="1" applyFill="1" applyAlignment="1">
      <alignment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0" fontId="11" fillId="5" borderId="0" xfId="0" applyFont="1" applyFill="1" applyAlignment="1">
      <alignment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5" fontId="10" fillId="0" borderId="1" xfId="1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4" fillId="0" borderId="1" xfId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right" vertical="center" wrapText="1"/>
    </xf>
    <xf numFmtId="49" fontId="15" fillId="0" borderId="1" xfId="0" applyNumberFormat="1" applyFont="1" applyBorder="1" applyAlignment="1">
      <alignment vertical="center" wrapText="1"/>
    </xf>
    <xf numFmtId="165" fontId="15" fillId="0" borderId="1" xfId="1" applyFont="1" applyFill="1" applyBorder="1" applyAlignment="1">
      <alignment horizontal="center" vertical="center" wrapText="1"/>
    </xf>
    <xf numFmtId="165" fontId="15" fillId="0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2" fontId="10" fillId="0" borderId="1" xfId="1" applyNumberFormat="1" applyFont="1" applyFill="1" applyBorder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5" fontId="11" fillId="0" borderId="0" xfId="1" applyFont="1" applyAlignment="1">
      <alignment horizontal="center" vertical="center" wrapText="1"/>
    </xf>
    <xf numFmtId="165" fontId="11" fillId="0" borderId="0" xfId="1" applyFont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/>
    <xf numFmtId="0" fontId="4" fillId="3" borderId="5" xfId="0" applyFont="1" applyFill="1" applyBorder="1" applyAlignment="1">
      <alignment horizontal="center"/>
    </xf>
    <xf numFmtId="2" fontId="4" fillId="3" borderId="5" xfId="0" applyNumberFormat="1" applyFont="1" applyFill="1" applyBorder="1"/>
    <xf numFmtId="164" fontId="4" fillId="3" borderId="5" xfId="0" applyNumberFormat="1" applyFont="1" applyFill="1" applyBorder="1"/>
    <xf numFmtId="0" fontId="2" fillId="0" borderId="7" xfId="0" applyFont="1" applyBorder="1" applyAlignment="1">
      <alignment horizontal="center" vertic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/>
    <xf numFmtId="164" fontId="1" fillId="0" borderId="7" xfId="0" applyNumberFormat="1" applyFont="1" applyBorder="1"/>
    <xf numFmtId="0" fontId="2" fillId="0" borderId="9" xfId="0" applyFont="1" applyBorder="1" applyAlignment="1">
      <alignment horizontal="center" vertical="center"/>
    </xf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2" fontId="1" fillId="0" borderId="10" xfId="0" applyNumberFormat="1" applyFont="1" applyBorder="1"/>
    <xf numFmtId="164" fontId="1" fillId="0" borderId="10" xfId="0" applyNumberFormat="1" applyFont="1" applyBorder="1"/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2" fontId="1" fillId="0" borderId="8" xfId="0" applyNumberFormat="1" applyFont="1" applyBorder="1"/>
    <xf numFmtId="164" fontId="1" fillId="0" borderId="8" xfId="0" applyNumberFormat="1" applyFont="1" applyBorder="1"/>
    <xf numFmtId="0" fontId="22" fillId="0" borderId="0" xfId="2" applyFont="1" applyAlignment="1">
      <alignment vertical="center"/>
    </xf>
    <xf numFmtId="0" fontId="17" fillId="0" borderId="0" xfId="2"/>
    <xf numFmtId="0" fontId="27" fillId="2" borderId="0" xfId="6" applyFont="1" applyFill="1" applyAlignment="1">
      <alignment horizontal="left" vertical="center" wrapText="1"/>
    </xf>
    <xf numFmtId="0" fontId="31" fillId="2" borderId="1" xfId="6" applyFont="1" applyFill="1" applyBorder="1" applyAlignment="1">
      <alignment horizontal="center" vertical="center"/>
    </xf>
    <xf numFmtId="0" fontId="31" fillId="2" borderId="1" xfId="6" applyFont="1" applyFill="1" applyBorder="1" applyAlignment="1">
      <alignment vertical="center"/>
    </xf>
    <xf numFmtId="2" fontId="31" fillId="2" borderId="1" xfId="6" applyNumberFormat="1" applyFont="1" applyFill="1" applyBorder="1" applyAlignment="1">
      <alignment horizontal="center" vertical="center"/>
    </xf>
    <xf numFmtId="0" fontId="26" fillId="2" borderId="1" xfId="6" applyFont="1" applyFill="1" applyBorder="1" applyAlignment="1">
      <alignment horizontal="center" vertical="center"/>
    </xf>
    <xf numFmtId="0" fontId="26" fillId="2" borderId="1" xfId="6" applyFont="1" applyFill="1" applyBorder="1" applyAlignment="1">
      <alignment horizontal="center" vertical="center" wrapText="1"/>
    </xf>
    <xf numFmtId="2" fontId="26" fillId="2" borderId="1" xfId="6" applyNumberFormat="1" applyFont="1" applyFill="1" applyBorder="1" applyAlignment="1">
      <alignment horizontal="center" vertical="center"/>
    </xf>
    <xf numFmtId="49" fontId="31" fillId="2" borderId="1" xfId="6" applyNumberFormat="1" applyFont="1" applyFill="1" applyBorder="1" applyAlignment="1">
      <alignment horizontal="center" vertical="center"/>
    </xf>
    <xf numFmtId="0" fontId="26" fillId="2" borderId="1" xfId="6" applyFont="1" applyFill="1" applyBorder="1" applyAlignment="1">
      <alignment horizontal="justify" vertical="center" wrapText="1"/>
    </xf>
    <xf numFmtId="0" fontId="31" fillId="2" borderId="1" xfId="6" applyFont="1" applyFill="1" applyBorder="1" applyAlignment="1">
      <alignment horizontal="justify" vertical="center" wrapText="1"/>
    </xf>
    <xf numFmtId="0" fontId="32" fillId="2" borderId="0" xfId="6" applyFont="1" applyFill="1" applyAlignment="1">
      <alignment horizontal="center" vertical="center"/>
    </xf>
    <xf numFmtId="0" fontId="32" fillId="2" borderId="0" xfId="6" applyFont="1" applyFill="1" applyAlignment="1">
      <alignment vertical="center"/>
    </xf>
    <xf numFmtId="0" fontId="33" fillId="2" borderId="0" xfId="6" applyFont="1" applyFill="1"/>
    <xf numFmtId="0" fontId="34" fillId="2" borderId="0" xfId="2" applyFont="1" applyFill="1" applyAlignment="1">
      <alignment vertical="center"/>
    </xf>
    <xf numFmtId="0" fontId="28" fillId="2" borderId="0" xfId="6" applyFont="1" applyFill="1"/>
    <xf numFmtId="0" fontId="33" fillId="0" borderId="0" xfId="6" applyFont="1"/>
    <xf numFmtId="10" fontId="28" fillId="2" borderId="0" xfId="6" applyNumberFormat="1" applyFont="1" applyFill="1" applyAlignment="1">
      <alignment horizontal="center" vertical="center"/>
    </xf>
    <xf numFmtId="0" fontId="33" fillId="2" borderId="0" xfId="6" applyFont="1" applyFill="1" applyAlignment="1">
      <alignment vertical="center"/>
    </xf>
    <xf numFmtId="0" fontId="33" fillId="2" borderId="0" xfId="6" applyFont="1" applyFill="1" applyAlignment="1">
      <alignment horizontal="center" vertical="center"/>
    </xf>
    <xf numFmtId="0" fontId="33" fillId="2" borderId="0" xfId="6" applyFont="1" applyFill="1" applyAlignment="1">
      <alignment horizontal="right" vertical="center"/>
    </xf>
    <xf numFmtId="0" fontId="33" fillId="2" borderId="0" xfId="6" applyFont="1" applyFill="1" applyAlignment="1">
      <alignment horizontal="left" vertical="center"/>
    </xf>
    <xf numFmtId="0" fontId="28" fillId="2" borderId="13" xfId="6" applyFont="1" applyFill="1" applyBorder="1" applyAlignment="1">
      <alignment horizontal="center" vertical="center" wrapText="1"/>
    </xf>
    <xf numFmtId="0" fontId="33" fillId="2" borderId="13" xfId="6" applyFont="1" applyFill="1" applyBorder="1" applyAlignment="1">
      <alignment horizontal="center" vertical="center" wrapText="1"/>
    </xf>
    <xf numFmtId="0" fontId="33" fillId="2" borderId="17" xfId="6" applyFont="1" applyFill="1" applyBorder="1" applyAlignment="1">
      <alignment vertical="center"/>
    </xf>
    <xf numFmtId="0" fontId="28" fillId="2" borderId="14" xfId="6" applyFont="1" applyFill="1" applyBorder="1" applyAlignment="1">
      <alignment vertical="center"/>
    </xf>
    <xf numFmtId="0" fontId="28" fillId="2" borderId="15" xfId="6" applyFont="1" applyFill="1" applyBorder="1" applyAlignment="1">
      <alignment vertical="center"/>
    </xf>
    <xf numFmtId="10" fontId="28" fillId="2" borderId="16" xfId="7" applyNumberFormat="1" applyFont="1" applyFill="1" applyBorder="1" applyAlignment="1">
      <alignment vertical="center"/>
    </xf>
    <xf numFmtId="2" fontId="33" fillId="0" borderId="0" xfId="6" applyNumberFormat="1" applyFont="1"/>
    <xf numFmtId="0" fontId="33" fillId="2" borderId="14" xfId="6" applyFont="1" applyFill="1" applyBorder="1" applyAlignment="1">
      <alignment horizontal="center" vertical="center"/>
    </xf>
    <xf numFmtId="10" fontId="33" fillId="0" borderId="18" xfId="6" applyNumberFormat="1" applyFont="1" applyBorder="1"/>
    <xf numFmtId="10" fontId="33" fillId="0" borderId="0" xfId="6" applyNumberFormat="1" applyFont="1"/>
    <xf numFmtId="0" fontId="33" fillId="2" borderId="15" xfId="6" applyFont="1" applyFill="1" applyBorder="1" applyAlignment="1">
      <alignment horizontal="center" vertical="center"/>
    </xf>
    <xf numFmtId="10" fontId="28" fillId="2" borderId="16" xfId="8" applyNumberFormat="1" applyFont="1" applyFill="1" applyBorder="1" applyAlignment="1">
      <alignment vertical="center"/>
    </xf>
    <xf numFmtId="10" fontId="33" fillId="0" borderId="16" xfId="6" applyNumberFormat="1" applyFont="1" applyBorder="1"/>
    <xf numFmtId="0" fontId="33" fillId="2" borderId="15" xfId="6" applyFont="1" applyFill="1" applyBorder="1" applyAlignment="1">
      <alignment horizontal="left" vertical="center"/>
    </xf>
    <xf numFmtId="0" fontId="33" fillId="2" borderId="15" xfId="6" applyFont="1" applyFill="1" applyBorder="1" applyAlignment="1">
      <alignment vertical="center"/>
    </xf>
    <xf numFmtId="10" fontId="33" fillId="2" borderId="16" xfId="7" applyNumberFormat="1" applyFont="1" applyFill="1" applyBorder="1" applyAlignment="1">
      <alignment vertical="center"/>
    </xf>
    <xf numFmtId="0" fontId="33" fillId="0" borderId="0" xfId="6" applyFont="1" applyAlignment="1">
      <alignment horizontal="center" vertical="center"/>
    </xf>
    <xf numFmtId="0" fontId="33" fillId="0" borderId="0" xfId="6" applyFont="1" applyAlignment="1">
      <alignment vertical="center"/>
    </xf>
    <xf numFmtId="0" fontId="33" fillId="0" borderId="0" xfId="6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11" fillId="0" borderId="0" xfId="0" applyNumberFormat="1" applyFont="1" applyAlignment="1">
      <alignment vertical="center" wrapText="1"/>
    </xf>
    <xf numFmtId="44" fontId="1" fillId="0" borderId="0" xfId="10" applyFont="1"/>
    <xf numFmtId="44" fontId="2" fillId="0" borderId="0" xfId="1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/>
    <xf numFmtId="0" fontId="38" fillId="0" borderId="0" xfId="0" applyFont="1"/>
    <xf numFmtId="0" fontId="38" fillId="0" borderId="0" xfId="0" applyFont="1" applyAlignment="1">
      <alignment vertical="center" wrapText="1"/>
    </xf>
    <xf numFmtId="0" fontId="37" fillId="0" borderId="0" xfId="0" applyFont="1" applyAlignment="1">
      <alignment vertical="center"/>
    </xf>
    <xf numFmtId="10" fontId="37" fillId="0" borderId="0" xfId="11" applyNumberFormat="1" applyFont="1" applyFill="1" applyBorder="1" applyAlignment="1">
      <alignment horizontal="left"/>
    </xf>
    <xf numFmtId="44" fontId="37" fillId="0" borderId="0" xfId="10" applyFont="1"/>
    <xf numFmtId="0" fontId="38" fillId="7" borderId="0" xfId="0" applyFont="1" applyFill="1" applyAlignment="1">
      <alignment horizontal="center"/>
    </xf>
    <xf numFmtId="0" fontId="38" fillId="7" borderId="0" xfId="0" applyFont="1" applyFill="1"/>
    <xf numFmtId="0" fontId="37" fillId="7" borderId="0" xfId="0" applyFont="1" applyFill="1"/>
    <xf numFmtId="44" fontId="38" fillId="7" borderId="0" xfId="0" applyNumberFormat="1" applyFont="1" applyFill="1"/>
    <xf numFmtId="44" fontId="38" fillId="0" borderId="0" xfId="0" applyNumberFormat="1" applyFont="1"/>
    <xf numFmtId="0" fontId="37" fillId="8" borderId="0" xfId="0" applyFont="1" applyFill="1" applyAlignment="1">
      <alignment horizontal="center"/>
    </xf>
    <xf numFmtId="0" fontId="37" fillId="8" borderId="0" xfId="0" applyFont="1" applyFill="1"/>
    <xf numFmtId="2" fontId="37" fillId="8" borderId="0" xfId="0" applyNumberFormat="1" applyFont="1" applyFill="1" applyAlignment="1">
      <alignment horizontal="center"/>
    </xf>
    <xf numFmtId="44" fontId="37" fillId="8" borderId="0" xfId="10" applyFont="1" applyFill="1" applyAlignment="1">
      <alignment horizontal="center"/>
    </xf>
    <xf numFmtId="44" fontId="37" fillId="8" borderId="0" xfId="10" applyFont="1" applyFill="1"/>
    <xf numFmtId="0" fontId="38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2" fontId="37" fillId="0" borderId="0" xfId="0" applyNumberFormat="1" applyFont="1" applyAlignment="1">
      <alignment horizontal="center"/>
    </xf>
    <xf numFmtId="44" fontId="37" fillId="0" borderId="0" xfId="10" applyFont="1" applyAlignment="1">
      <alignment horizontal="center"/>
    </xf>
    <xf numFmtId="44" fontId="37" fillId="0" borderId="0" xfId="0" applyNumberFormat="1" applyFont="1"/>
    <xf numFmtId="44" fontId="39" fillId="0" borderId="0" xfId="10" applyFont="1" applyAlignment="1">
      <alignment horizontal="center"/>
    </xf>
    <xf numFmtId="44" fontId="39" fillId="0" borderId="0" xfId="10" applyFont="1"/>
    <xf numFmtId="0" fontId="40" fillId="0" borderId="0" xfId="0" applyFont="1"/>
    <xf numFmtId="0" fontId="37" fillId="0" borderId="0" xfId="0" applyFont="1" applyAlignment="1">
      <alignment horizontal="left"/>
    </xf>
    <xf numFmtId="0" fontId="41" fillId="9" borderId="0" xfId="12" applyFont="1" applyFill="1" applyAlignment="1">
      <alignment horizontal="right" vertical="center"/>
    </xf>
    <xf numFmtId="2" fontId="42" fillId="0" borderId="0" xfId="12" applyNumberFormat="1" applyFont="1" applyAlignment="1">
      <alignment horizontal="right"/>
    </xf>
    <xf numFmtId="2" fontId="42" fillId="0" borderId="0" xfId="12" applyNumberFormat="1" applyFont="1" applyAlignment="1">
      <alignment horizontal="left"/>
    </xf>
    <xf numFmtId="0" fontId="40" fillId="0" borderId="0" xfId="0" applyFont="1" applyAlignment="1">
      <alignment horizontal="center" vertical="center"/>
    </xf>
    <xf numFmtId="0" fontId="41" fillId="9" borderId="0" xfId="12" applyFont="1" applyFill="1" applyAlignment="1">
      <alignment horizontal="center" vertical="center"/>
    </xf>
    <xf numFmtId="2" fontId="42" fillId="0" borderId="0" xfId="12" applyNumberFormat="1" applyFont="1" applyAlignment="1">
      <alignment horizontal="right" vertical="center"/>
    </xf>
    <xf numFmtId="2" fontId="42" fillId="0" borderId="0" xfId="12" applyNumberFormat="1" applyFont="1" applyAlignment="1">
      <alignment horizontal="center" vertical="center"/>
    </xf>
    <xf numFmtId="10" fontId="37" fillId="0" borderId="0" xfId="0" applyNumberFormat="1" applyFont="1"/>
    <xf numFmtId="169" fontId="37" fillId="0" borderId="0" xfId="0" applyNumberFormat="1" applyFont="1"/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2" fontId="37" fillId="0" borderId="0" xfId="0" applyNumberFormat="1" applyFont="1" applyAlignment="1">
      <alignment horizontal="center" vertical="center"/>
    </xf>
    <xf numFmtId="1" fontId="37" fillId="0" borderId="0" xfId="0" applyNumberFormat="1" applyFont="1" applyAlignment="1">
      <alignment horizontal="center" vertical="center"/>
    </xf>
    <xf numFmtId="44" fontId="37" fillId="0" borderId="0" xfId="10" applyFont="1" applyAlignment="1">
      <alignment horizontal="center" vertical="center"/>
    </xf>
    <xf numFmtId="10" fontId="37" fillId="0" borderId="0" xfId="0" applyNumberFormat="1" applyFont="1" applyAlignment="1">
      <alignment vertical="center"/>
    </xf>
    <xf numFmtId="0" fontId="44" fillId="0" borderId="0" xfId="0" applyFont="1"/>
    <xf numFmtId="0" fontId="38" fillId="0" borderId="0" xfId="0" applyFont="1" applyAlignment="1">
      <alignment horizontal="left"/>
    </xf>
    <xf numFmtId="2" fontId="37" fillId="0" borderId="0" xfId="0" applyNumberFormat="1" applyFont="1"/>
    <xf numFmtId="44" fontId="38" fillId="0" borderId="0" xfId="10" applyFont="1"/>
    <xf numFmtId="0" fontId="18" fillId="6" borderId="0" xfId="2" applyFont="1" applyFill="1" applyAlignment="1">
      <alignment horizontal="left" vertical="top" wrapText="1"/>
    </xf>
    <xf numFmtId="0" fontId="21" fillId="6" borderId="0" xfId="2" applyFont="1" applyFill="1" applyAlignment="1">
      <alignment horizontal="left" vertical="top" wrapText="1"/>
    </xf>
    <xf numFmtId="0" fontId="20" fillId="6" borderId="0" xfId="2" applyFont="1" applyFill="1" applyAlignment="1">
      <alignment horizontal="center" vertical="top" wrapText="1"/>
    </xf>
    <xf numFmtId="0" fontId="20" fillId="6" borderId="0" xfId="2" applyFont="1" applyFill="1" applyAlignment="1">
      <alignment horizontal="left" vertical="top" wrapText="1"/>
    </xf>
    <xf numFmtId="0" fontId="21" fillId="6" borderId="0" xfId="2" applyFont="1" applyFill="1" applyAlignment="1">
      <alignment horizontal="right" vertical="top" wrapText="1"/>
    </xf>
    <xf numFmtId="0" fontId="21" fillId="6" borderId="0" xfId="2" applyFont="1" applyFill="1" applyAlignment="1">
      <alignment horizontal="center" vertical="top" wrapText="1"/>
    </xf>
    <xf numFmtId="171" fontId="37" fillId="0" borderId="0" xfId="0" applyNumberFormat="1" applyFont="1" applyAlignment="1">
      <alignment vertical="center"/>
    </xf>
    <xf numFmtId="0" fontId="17" fillId="0" borderId="0" xfId="2" applyAlignment="1">
      <alignment vertical="center"/>
    </xf>
    <xf numFmtId="0" fontId="23" fillId="0" borderId="0" xfId="2" applyFont="1" applyAlignment="1">
      <alignment vertical="center"/>
    </xf>
    <xf numFmtId="0" fontId="18" fillId="6" borderId="0" xfId="2" applyFont="1" applyFill="1" applyAlignment="1">
      <alignment horizontal="center" wrapText="1"/>
    </xf>
    <xf numFmtId="0" fontId="18" fillId="6" borderId="0" xfId="2" applyFont="1" applyFill="1" applyAlignment="1">
      <alignment horizontal="center"/>
    </xf>
    <xf numFmtId="0" fontId="18" fillId="6" borderId="0" xfId="2" applyFont="1" applyFill="1" applyAlignment="1">
      <alignment horizontal="left"/>
    </xf>
    <xf numFmtId="0" fontId="22" fillId="6" borderId="0" xfId="2" applyFont="1" applyFill="1" applyAlignment="1">
      <alignment horizontal="left" wrapText="1"/>
    </xf>
    <xf numFmtId="0" fontId="22" fillId="6" borderId="0" xfId="2" applyFont="1" applyFill="1" applyAlignment="1">
      <alignment horizontal="left"/>
    </xf>
    <xf numFmtId="2" fontId="22" fillId="6" borderId="0" xfId="2" applyNumberFormat="1" applyFont="1" applyFill="1" applyAlignment="1">
      <alignment horizontal="center" wrapText="1"/>
    </xf>
    <xf numFmtId="172" fontId="22" fillId="6" borderId="0" xfId="2" applyNumberFormat="1" applyFont="1" applyFill="1" applyAlignment="1">
      <alignment horizontal="center" wrapText="1"/>
    </xf>
    <xf numFmtId="0" fontId="46" fillId="11" borderId="1" xfId="2" applyFont="1" applyFill="1" applyBorder="1" applyAlignment="1">
      <alignment horizontal="left" vertical="top" wrapText="1"/>
    </xf>
    <xf numFmtId="0" fontId="14" fillId="0" borderId="1" xfId="2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47" fillId="0" borderId="1" xfId="2" applyFont="1" applyBorder="1" applyAlignment="1">
      <alignment horizontal="left" vertical="center" wrapText="1"/>
    </xf>
    <xf numFmtId="0" fontId="47" fillId="0" borderId="1" xfId="2" applyFont="1" applyBorder="1" applyAlignment="1">
      <alignment horizontal="center" vertical="center" wrapText="1"/>
    </xf>
    <xf numFmtId="2" fontId="47" fillId="0" borderId="1" xfId="2" applyNumberFormat="1" applyFont="1" applyBorder="1" applyAlignment="1">
      <alignment horizontal="center" vertical="center"/>
    </xf>
    <xf numFmtId="2" fontId="47" fillId="0" borderId="1" xfId="2" applyNumberFormat="1" applyFont="1" applyBorder="1" applyAlignment="1">
      <alignment horizontal="center" vertical="center" wrapText="1"/>
    </xf>
    <xf numFmtId="2" fontId="14" fillId="0" borderId="1" xfId="2" applyNumberFormat="1" applyFont="1" applyBorder="1" applyAlignment="1">
      <alignment horizontal="right" vertical="center" wrapText="1"/>
    </xf>
    <xf numFmtId="0" fontId="46" fillId="11" borderId="1" xfId="2" applyFont="1" applyFill="1" applyBorder="1" applyAlignment="1">
      <alignment horizontal="right" vertical="top" wrapText="1"/>
    </xf>
    <xf numFmtId="4" fontId="46" fillId="11" borderId="1" xfId="2" applyNumberFormat="1" applyFont="1" applyFill="1" applyBorder="1" applyAlignment="1">
      <alignment horizontal="right" vertical="top" wrapText="1"/>
    </xf>
    <xf numFmtId="170" fontId="46" fillId="11" borderId="1" xfId="2" applyNumberFormat="1" applyFont="1" applyFill="1" applyBorder="1" applyAlignment="1">
      <alignment horizontal="right" vertical="top" wrapText="1"/>
    </xf>
    <xf numFmtId="0" fontId="47" fillId="0" borderId="1" xfId="2" applyFont="1" applyBorder="1" applyAlignment="1">
      <alignment horizontal="left" vertical="top" wrapText="1"/>
    </xf>
    <xf numFmtId="0" fontId="47" fillId="0" borderId="1" xfId="2" applyFont="1" applyBorder="1" applyAlignment="1">
      <alignment horizontal="right" vertical="top" wrapText="1"/>
    </xf>
    <xf numFmtId="0" fontId="47" fillId="0" borderId="1" xfId="2" applyFont="1" applyBorder="1" applyAlignment="1">
      <alignment horizontal="center" vertical="top" wrapText="1"/>
    </xf>
    <xf numFmtId="4" fontId="47" fillId="0" borderId="1" xfId="2" applyNumberFormat="1" applyFont="1" applyBorder="1" applyAlignment="1">
      <alignment horizontal="right" vertical="top" wrapText="1"/>
    </xf>
    <xf numFmtId="2" fontId="47" fillId="0" borderId="1" xfId="2" applyNumberFormat="1" applyFont="1" applyBorder="1" applyAlignment="1">
      <alignment horizontal="right" vertical="top" wrapText="1"/>
    </xf>
    <xf numFmtId="0" fontId="47" fillId="0" borderId="1" xfId="2" applyFont="1" applyBorder="1" applyAlignment="1">
      <alignment horizontal="center" vertical="center"/>
    </xf>
    <xf numFmtId="0" fontId="47" fillId="0" borderId="1" xfId="2" applyFont="1" applyBorder="1" applyAlignment="1">
      <alignment horizontal="right" vertical="center"/>
    </xf>
    <xf numFmtId="4" fontId="47" fillId="0" borderId="1" xfId="2" applyNumberFormat="1" applyFont="1" applyBorder="1" applyAlignment="1">
      <alignment horizontal="center" vertical="center" wrapText="1"/>
    </xf>
    <xf numFmtId="170" fontId="47" fillId="0" borderId="1" xfId="2" applyNumberFormat="1" applyFont="1" applyBorder="1" applyAlignment="1">
      <alignment horizontal="right" vertical="top" wrapText="1"/>
    </xf>
    <xf numFmtId="0" fontId="14" fillId="0" borderId="1" xfId="2" applyFont="1" applyBorder="1" applyAlignment="1">
      <alignment horizontal="right" vertical="center" wrapText="1"/>
    </xf>
    <xf numFmtId="2" fontId="47" fillId="0" borderId="1" xfId="2" applyNumberFormat="1" applyFont="1" applyBorder="1" applyAlignment="1">
      <alignment horizontal="right" vertical="center"/>
    </xf>
    <xf numFmtId="2" fontId="24" fillId="0" borderId="1" xfId="2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2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/>
    <xf numFmtId="164" fontId="1" fillId="0" borderId="3" xfId="0" applyNumberFormat="1" applyFont="1" applyBorder="1" applyAlignment="1">
      <alignment horizontal="center"/>
    </xf>
    <xf numFmtId="4" fontId="47" fillId="0" borderId="1" xfId="2" applyNumberFormat="1" applyFont="1" applyBorder="1" applyAlignment="1">
      <alignment horizontal="left" vertical="center"/>
    </xf>
    <xf numFmtId="0" fontId="18" fillId="6" borderId="0" xfId="2" applyFont="1" applyFill="1" applyAlignment="1">
      <alignment horizontal="right" wrapText="1"/>
    </xf>
    <xf numFmtId="0" fontId="18" fillId="6" borderId="0" xfId="2" applyFont="1" applyFill="1" applyAlignment="1">
      <alignment horizontal="left" wrapText="1"/>
    </xf>
    <xf numFmtId="2" fontId="48" fillId="0" borderId="1" xfId="2" applyNumberFormat="1" applyFont="1" applyBorder="1" applyAlignment="1">
      <alignment horizontal="center" vertical="center" wrapText="1"/>
    </xf>
    <xf numFmtId="4" fontId="48" fillId="0" borderId="1" xfId="2" applyNumberFormat="1" applyFont="1" applyBorder="1" applyAlignment="1">
      <alignment horizontal="center" vertical="center" wrapText="1"/>
    </xf>
    <xf numFmtId="0" fontId="18" fillId="0" borderId="0" xfId="2" applyFont="1" applyAlignment="1">
      <alignment horizontal="left" vertical="top" wrapText="1"/>
    </xf>
    <xf numFmtId="0" fontId="21" fillId="0" borderId="0" xfId="2" applyFont="1" applyAlignment="1">
      <alignment horizontal="left" vertical="top" wrapText="1"/>
    </xf>
    <xf numFmtId="0" fontId="20" fillId="0" borderId="0" xfId="2" applyFont="1" applyAlignment="1">
      <alignment horizontal="left" vertical="top" wrapText="1"/>
    </xf>
    <xf numFmtId="0" fontId="18" fillId="6" borderId="1" xfId="2" applyFont="1" applyFill="1" applyBorder="1" applyAlignment="1">
      <alignment horizontal="left" vertical="top" wrapText="1"/>
    </xf>
    <xf numFmtId="0" fontId="18" fillId="6" borderId="1" xfId="2" applyFont="1" applyFill="1" applyBorder="1" applyAlignment="1">
      <alignment horizontal="right" vertical="top" wrapText="1"/>
    </xf>
    <xf numFmtId="0" fontId="18" fillId="6" borderId="1" xfId="2" applyFont="1" applyFill="1" applyBorder="1" applyAlignment="1">
      <alignment horizontal="center" vertical="top" wrapText="1"/>
    </xf>
    <xf numFmtId="4" fontId="49" fillId="6" borderId="0" xfId="2" applyNumberFormat="1" applyFont="1" applyFill="1" applyAlignment="1">
      <alignment horizontal="right" vertical="center" wrapText="1"/>
    </xf>
    <xf numFmtId="164" fontId="46" fillId="11" borderId="1" xfId="2" applyNumberFormat="1" applyFont="1" applyFill="1" applyBorder="1" applyAlignment="1">
      <alignment horizontal="left" vertical="top" wrapText="1"/>
    </xf>
    <xf numFmtId="164" fontId="46" fillId="11" borderId="1" xfId="2" applyNumberFormat="1" applyFont="1" applyFill="1" applyBorder="1" applyAlignment="1">
      <alignment horizontal="right" vertical="top" wrapText="1"/>
    </xf>
    <xf numFmtId="164" fontId="47" fillId="0" borderId="1" xfId="2" applyNumberFormat="1" applyFont="1" applyBorder="1" applyAlignment="1">
      <alignment horizontal="right" vertical="top" wrapText="1"/>
    </xf>
    <xf numFmtId="164" fontId="49" fillId="6" borderId="0" xfId="10" applyNumberFormat="1" applyFont="1" applyFill="1" applyAlignment="1">
      <alignment vertical="center" wrapText="1"/>
    </xf>
    <xf numFmtId="0" fontId="21" fillId="6" borderId="0" xfId="2" applyFont="1" applyFill="1" applyAlignment="1">
      <alignment horizontal="left" vertical="top"/>
    </xf>
    <xf numFmtId="0" fontId="20" fillId="0" borderId="0" xfId="2" applyFont="1" applyAlignment="1">
      <alignment horizontal="right" vertical="top" wrapText="1"/>
    </xf>
    <xf numFmtId="4" fontId="20" fillId="0" borderId="0" xfId="2" applyNumberFormat="1" applyFont="1" applyAlignment="1">
      <alignment horizontal="right" vertical="top" wrapText="1"/>
    </xf>
    <xf numFmtId="0" fontId="18" fillId="0" borderId="1" xfId="2" applyFont="1" applyBorder="1" applyAlignment="1">
      <alignment horizontal="left" vertical="top" wrapText="1"/>
    </xf>
    <xf numFmtId="0" fontId="18" fillId="0" borderId="1" xfId="2" applyFont="1" applyBorder="1" applyAlignment="1">
      <alignment horizontal="right" vertical="top" wrapText="1"/>
    </xf>
    <xf numFmtId="0" fontId="18" fillId="0" borderId="1" xfId="2" applyFont="1" applyBorder="1" applyAlignment="1">
      <alignment horizontal="center" vertical="top" wrapText="1"/>
    </xf>
    <xf numFmtId="0" fontId="20" fillId="0" borderId="1" xfId="2" applyFont="1" applyBorder="1" applyAlignment="1">
      <alignment horizontal="left" vertical="top" wrapText="1"/>
    </xf>
    <xf numFmtId="0" fontId="20" fillId="0" borderId="1" xfId="2" applyFont="1" applyBorder="1" applyAlignment="1">
      <alignment horizontal="right" vertical="top" wrapText="1"/>
    </xf>
    <xf numFmtId="0" fontId="20" fillId="0" borderId="1" xfId="2" applyFont="1" applyBorder="1" applyAlignment="1">
      <alignment horizontal="center" vertical="top" wrapText="1"/>
    </xf>
    <xf numFmtId="167" fontId="20" fillId="0" borderId="1" xfId="2" applyNumberFormat="1" applyFont="1" applyBorder="1" applyAlignment="1">
      <alignment horizontal="right" vertical="top" wrapText="1"/>
    </xf>
    <xf numFmtId="0" fontId="14" fillId="12" borderId="1" xfId="2" applyFont="1" applyFill="1" applyBorder="1" applyAlignment="1">
      <alignment horizontal="left" vertical="top" wrapText="1"/>
    </xf>
    <xf numFmtId="0" fontId="14" fillId="12" borderId="1" xfId="2" applyFont="1" applyFill="1" applyBorder="1" applyAlignment="1">
      <alignment horizontal="right" vertical="top" wrapText="1"/>
    </xf>
    <xf numFmtId="0" fontId="14" fillId="12" borderId="1" xfId="2" applyFont="1" applyFill="1" applyBorder="1" applyAlignment="1">
      <alignment horizontal="center" vertical="top" wrapText="1"/>
    </xf>
    <xf numFmtId="167" fontId="14" fillId="12" borderId="1" xfId="2" applyNumberFormat="1" applyFont="1" applyFill="1" applyBorder="1" applyAlignment="1">
      <alignment horizontal="right" vertical="top" wrapText="1"/>
    </xf>
    <xf numFmtId="0" fontId="23" fillId="12" borderId="0" xfId="2" applyFont="1" applyFill="1"/>
    <xf numFmtId="168" fontId="20" fillId="0" borderId="1" xfId="2" applyNumberFormat="1" applyFont="1" applyBorder="1" applyAlignment="1">
      <alignment vertical="top" wrapText="1"/>
    </xf>
    <xf numFmtId="168" fontId="20" fillId="0" borderId="1" xfId="2" applyNumberFormat="1" applyFont="1" applyBorder="1" applyAlignment="1">
      <alignment horizontal="center" vertical="top" wrapText="1"/>
    </xf>
    <xf numFmtId="0" fontId="18" fillId="0" borderId="1" xfId="2" applyFont="1" applyBorder="1" applyAlignment="1">
      <alignment horizontal="center" vertical="center" wrapText="1"/>
    </xf>
    <xf numFmtId="173" fontId="20" fillId="0" borderId="1" xfId="2" applyNumberFormat="1" applyFont="1" applyBorder="1" applyAlignment="1">
      <alignment vertical="top" wrapText="1"/>
    </xf>
    <xf numFmtId="44" fontId="14" fillId="12" borderId="1" xfId="10" applyFont="1" applyFill="1" applyBorder="1" applyAlignment="1">
      <alignment horizontal="right" vertical="top" wrapText="1"/>
    </xf>
    <xf numFmtId="44" fontId="20" fillId="0" borderId="1" xfId="10" applyFont="1" applyFill="1" applyBorder="1" applyAlignment="1">
      <alignment horizontal="right" vertical="top" wrapText="1"/>
    </xf>
    <xf numFmtId="44" fontId="20" fillId="0" borderId="1" xfId="10" applyFont="1" applyFill="1" applyBorder="1" applyAlignment="1">
      <alignment vertical="top" wrapText="1"/>
    </xf>
    <xf numFmtId="44" fontId="21" fillId="0" borderId="1" xfId="10" applyFont="1" applyFill="1" applyBorder="1" applyAlignment="1">
      <alignment horizontal="right" vertical="top" wrapText="1"/>
    </xf>
    <xf numFmtId="174" fontId="20" fillId="0" borderId="1" xfId="10" applyNumberFormat="1" applyFont="1" applyFill="1" applyBorder="1" applyAlignment="1">
      <alignment vertical="top" wrapText="1"/>
    </xf>
    <xf numFmtId="0" fontId="22" fillId="6" borderId="0" xfId="2" applyFont="1" applyFill="1" applyAlignment="1">
      <alignment horizontal="right"/>
    </xf>
    <xf numFmtId="0" fontId="17" fillId="0" borderId="0" xfId="2" applyAlignment="1">
      <alignment horizontal="right"/>
    </xf>
    <xf numFmtId="0" fontId="22" fillId="0" borderId="0" xfId="2" applyFont="1" applyAlignment="1">
      <alignment horizontal="right" vertical="center"/>
    </xf>
    <xf numFmtId="10" fontId="17" fillId="0" borderId="0" xfId="11" applyNumberFormat="1" applyFont="1"/>
    <xf numFmtId="10" fontId="21" fillId="6" borderId="0" xfId="2" applyNumberFormat="1" applyFont="1" applyFill="1" applyAlignment="1">
      <alignment horizontal="left" vertical="top" wrapText="1"/>
    </xf>
    <xf numFmtId="0" fontId="14" fillId="13" borderId="1" xfId="2" applyFont="1" applyFill="1" applyBorder="1" applyAlignment="1">
      <alignment horizontal="right" vertical="center" wrapText="1"/>
    </xf>
    <xf numFmtId="0" fontId="47" fillId="13" borderId="1" xfId="2" applyFont="1" applyFill="1" applyBorder="1" applyAlignment="1">
      <alignment horizontal="center" vertical="center" wrapText="1"/>
    </xf>
    <xf numFmtId="2" fontId="47" fillId="13" borderId="1" xfId="2" applyNumberFormat="1" applyFont="1" applyFill="1" applyBorder="1" applyAlignment="1">
      <alignment horizontal="center" vertical="center" wrapText="1"/>
    </xf>
    <xf numFmtId="2" fontId="47" fillId="13" borderId="1" xfId="2" applyNumberFormat="1" applyFont="1" applyFill="1" applyBorder="1" applyAlignment="1">
      <alignment horizontal="center" vertical="center"/>
    </xf>
    <xf numFmtId="2" fontId="24" fillId="13" borderId="1" xfId="2" applyNumberFormat="1" applyFont="1" applyFill="1" applyBorder="1" applyAlignment="1">
      <alignment horizontal="right" vertical="center" wrapText="1"/>
    </xf>
    <xf numFmtId="0" fontId="22" fillId="13" borderId="0" xfId="2" applyFont="1" applyFill="1" applyAlignment="1">
      <alignment vertical="center"/>
    </xf>
    <xf numFmtId="0" fontId="47" fillId="13" borderId="1" xfId="2" applyFont="1" applyFill="1" applyBorder="1" applyAlignment="1">
      <alignment horizontal="left" vertical="center" wrapText="1"/>
    </xf>
    <xf numFmtId="2" fontId="47" fillId="13" borderId="1" xfId="2" applyNumberFormat="1" applyFont="1" applyFill="1" applyBorder="1" applyAlignment="1">
      <alignment horizontal="right" vertical="center"/>
    </xf>
    <xf numFmtId="0" fontId="17" fillId="13" borderId="0" xfId="2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" fillId="13" borderId="0" xfId="0" applyFont="1" applyFill="1" applyAlignment="1">
      <alignment horizontal="right" vertical="center"/>
    </xf>
    <xf numFmtId="0" fontId="1" fillId="13" borderId="0" xfId="0" applyFont="1" applyFill="1" applyAlignment="1">
      <alignment horizontal="left" vertical="center"/>
    </xf>
    <xf numFmtId="2" fontId="47" fillId="0" borderId="1" xfId="2" applyNumberFormat="1" applyFont="1" applyBorder="1" applyAlignment="1">
      <alignment horizontal="left" vertical="center"/>
    </xf>
    <xf numFmtId="4" fontId="17" fillId="0" borderId="0" xfId="2" applyNumberFormat="1"/>
    <xf numFmtId="0" fontId="47" fillId="0" borderId="1" xfId="2" quotePrefix="1" applyFont="1" applyBorder="1" applyAlignment="1">
      <alignment horizontal="left" vertical="center" wrapText="1"/>
    </xf>
    <xf numFmtId="0" fontId="18" fillId="0" borderId="0" xfId="2" applyFont="1" applyAlignment="1">
      <alignment wrapText="1"/>
    </xf>
    <xf numFmtId="0" fontId="18" fillId="6" borderId="0" xfId="2" applyFont="1" applyFill="1" applyAlignment="1">
      <alignment wrapText="1"/>
    </xf>
    <xf numFmtId="0" fontId="27" fillId="14" borderId="0" xfId="6" applyFont="1" applyFill="1" applyAlignment="1">
      <alignment horizontal="left" vertical="center" wrapText="1"/>
    </xf>
    <xf numFmtId="0" fontId="17" fillId="14" borderId="0" xfId="2" applyFill="1"/>
    <xf numFmtId="44" fontId="17" fillId="0" borderId="0" xfId="10" applyFont="1"/>
    <xf numFmtId="44" fontId="17" fillId="0" borderId="0" xfId="2" applyNumberFormat="1"/>
    <xf numFmtId="1" fontId="47" fillId="0" borderId="1" xfId="2" applyNumberFormat="1" applyFont="1" applyBorder="1" applyAlignment="1">
      <alignment horizontal="center" vertical="center" wrapText="1"/>
    </xf>
    <xf numFmtId="0" fontId="21" fillId="6" borderId="0" xfId="2" applyFont="1" applyFill="1" applyAlignment="1">
      <alignment vertical="top" wrapText="1"/>
    </xf>
    <xf numFmtId="10" fontId="17" fillId="0" borderId="0" xfId="11" applyNumberFormat="1" applyFont="1" applyFill="1"/>
    <xf numFmtId="9" fontId="17" fillId="0" borderId="0" xfId="2" applyNumberFormat="1"/>
    <xf numFmtId="0" fontId="23" fillId="0" borderId="0" xfId="2" applyFont="1"/>
    <xf numFmtId="44" fontId="23" fillId="0" borderId="0" xfId="2" applyNumberFormat="1" applyFont="1"/>
    <xf numFmtId="0" fontId="49" fillId="6" borderId="0" xfId="2" applyFont="1" applyFill="1" applyAlignment="1">
      <alignment horizontal="left" vertical="top" wrapText="1"/>
    </xf>
    <xf numFmtId="0" fontId="46" fillId="15" borderId="1" xfId="2" applyFont="1" applyFill="1" applyBorder="1" applyAlignment="1">
      <alignment horizontal="left" vertical="top" wrapText="1"/>
    </xf>
    <xf numFmtId="0" fontId="46" fillId="15" borderId="1" xfId="2" applyFont="1" applyFill="1" applyBorder="1" applyAlignment="1">
      <alignment horizontal="right" vertical="top" wrapText="1"/>
    </xf>
    <xf numFmtId="164" fontId="46" fillId="15" borderId="1" xfId="2" applyNumberFormat="1" applyFont="1" applyFill="1" applyBorder="1" applyAlignment="1">
      <alignment horizontal="left" vertical="top" wrapText="1"/>
    </xf>
    <xf numFmtId="164" fontId="46" fillId="15" borderId="1" xfId="2" applyNumberFormat="1" applyFont="1" applyFill="1" applyBorder="1" applyAlignment="1">
      <alignment horizontal="right" vertical="top" wrapText="1"/>
    </xf>
    <xf numFmtId="0" fontId="17" fillId="15" borderId="0" xfId="2" applyFill="1"/>
    <xf numFmtId="2" fontId="46" fillId="15" borderId="1" xfId="2" applyNumberFormat="1" applyFont="1" applyFill="1" applyBorder="1" applyAlignment="1">
      <alignment horizontal="right" vertical="top" wrapText="1"/>
    </xf>
    <xf numFmtId="8" fontId="17" fillId="15" borderId="0" xfId="2" applyNumberFormat="1" applyFill="1"/>
    <xf numFmtId="8" fontId="17" fillId="15" borderId="0" xfId="10" applyNumberFormat="1" applyFont="1" applyFill="1" applyAlignment="1">
      <alignment vertical="top"/>
    </xf>
    <xf numFmtId="8" fontId="17" fillId="15" borderId="0" xfId="2" applyNumberFormat="1" applyFill="1" applyAlignment="1">
      <alignment vertical="top"/>
    </xf>
    <xf numFmtId="44" fontId="17" fillId="15" borderId="0" xfId="10" applyFont="1" applyFill="1" applyAlignment="1">
      <alignment vertical="top"/>
    </xf>
    <xf numFmtId="44" fontId="17" fillId="15" borderId="0" xfId="2" applyNumberFormat="1" applyFill="1"/>
    <xf numFmtId="44" fontId="17" fillId="15" borderId="0" xfId="10" applyFont="1" applyFill="1"/>
    <xf numFmtId="0" fontId="29" fillId="15" borderId="7" xfId="6" applyFont="1" applyFill="1" applyBorder="1" applyAlignment="1">
      <alignment horizontal="center" vertical="center"/>
    </xf>
    <xf numFmtId="0" fontId="30" fillId="15" borderId="0" xfId="6" applyFont="1" applyFill="1" applyAlignment="1">
      <alignment vertical="center"/>
    </xf>
    <xf numFmtId="0" fontId="29" fillId="15" borderId="1" xfId="6" applyFont="1" applyFill="1" applyBorder="1" applyAlignment="1">
      <alignment horizontal="center" vertical="center"/>
    </xf>
    <xf numFmtId="2" fontId="29" fillId="15" borderId="1" xfId="6" applyNumberFormat="1" applyFont="1" applyFill="1" applyBorder="1" applyAlignment="1">
      <alignment horizontal="center" vertical="center"/>
    </xf>
    <xf numFmtId="0" fontId="33" fillId="15" borderId="0" xfId="6" applyFont="1" applyFill="1"/>
    <xf numFmtId="0" fontId="35" fillId="15" borderId="13" xfId="6" applyFont="1" applyFill="1" applyBorder="1" applyAlignment="1">
      <alignment horizontal="center" vertical="center"/>
    </xf>
    <xf numFmtId="0" fontId="28" fillId="15" borderId="14" xfId="6" applyFont="1" applyFill="1" applyBorder="1" applyAlignment="1">
      <alignment horizontal="center" vertical="center"/>
    </xf>
    <xf numFmtId="10" fontId="28" fillId="15" borderId="16" xfId="7" applyNumberFormat="1" applyFont="1" applyFill="1" applyBorder="1" applyAlignment="1">
      <alignment vertical="center"/>
    </xf>
    <xf numFmtId="2" fontId="33" fillId="15" borderId="0" xfId="6" applyNumberFormat="1" applyFont="1" applyFill="1"/>
    <xf numFmtId="10" fontId="33" fillId="15" borderId="0" xfId="6" applyNumberFormat="1" applyFont="1" applyFill="1"/>
    <xf numFmtId="10" fontId="28" fillId="15" borderId="16" xfId="6" applyNumberFormat="1" applyFont="1" applyFill="1" applyBorder="1"/>
    <xf numFmtId="43" fontId="17" fillId="0" borderId="0" xfId="2" applyNumberFormat="1"/>
    <xf numFmtId="0" fontId="50" fillId="6" borderId="0" xfId="2" applyFont="1" applyFill="1" applyAlignment="1">
      <alignment horizontal="center" vertical="top" wrapText="1"/>
    </xf>
    <xf numFmtId="0" fontId="50" fillId="6" borderId="0" xfId="2" applyFont="1" applyFill="1" applyAlignment="1">
      <alignment horizontal="left" vertical="top" wrapText="1"/>
    </xf>
    <xf numFmtId="0" fontId="49" fillId="6" borderId="0" xfId="2" applyFont="1" applyFill="1" applyAlignment="1">
      <alignment horizontal="right" vertical="top" wrapText="1"/>
    </xf>
    <xf numFmtId="0" fontId="49" fillId="15" borderId="0" xfId="2" applyFont="1" applyFill="1" applyAlignment="1">
      <alignment horizontal="left" vertical="top"/>
    </xf>
    <xf numFmtId="0" fontId="49" fillId="15" borderId="0" xfId="2" applyFont="1" applyFill="1" applyAlignment="1">
      <alignment vertical="top"/>
    </xf>
    <xf numFmtId="4" fontId="49" fillId="15" borderId="0" xfId="2" applyNumberFormat="1" applyFont="1" applyFill="1" applyAlignment="1">
      <alignment vertical="top" wrapText="1"/>
    </xf>
    <xf numFmtId="0" fontId="51" fillId="6" borderId="1" xfId="2" applyFont="1" applyFill="1" applyBorder="1" applyAlignment="1">
      <alignment horizontal="center" vertical="top" wrapText="1"/>
    </xf>
    <xf numFmtId="44" fontId="55" fillId="15" borderId="1" xfId="10" applyFont="1" applyFill="1" applyBorder="1" applyAlignment="1">
      <alignment horizontal="center" vertical="top" wrapText="1"/>
    </xf>
    <xf numFmtId="44" fontId="49" fillId="15" borderId="0" xfId="10" applyFont="1" applyFill="1" applyAlignment="1">
      <alignment horizontal="center" vertical="top" wrapText="1"/>
    </xf>
    <xf numFmtId="4" fontId="21" fillId="6" borderId="0" xfId="2" applyNumberFormat="1" applyFont="1" applyFill="1" applyAlignment="1">
      <alignment horizontal="right" vertical="top" wrapText="1"/>
    </xf>
    <xf numFmtId="0" fontId="23" fillId="15" borderId="0" xfId="2" applyFont="1" applyFill="1"/>
    <xf numFmtId="0" fontId="57" fillId="0" borderId="0" xfId="0" applyFont="1"/>
    <xf numFmtId="0" fontId="58" fillId="0" borderId="0" xfId="0" applyFont="1"/>
    <xf numFmtId="0" fontId="0" fillId="7" borderId="0" xfId="0" applyFill="1"/>
    <xf numFmtId="0" fontId="59" fillId="0" borderId="0" xfId="0" applyFont="1"/>
    <xf numFmtId="2" fontId="59" fillId="0" borderId="0" xfId="0" applyNumberFormat="1" applyFont="1"/>
    <xf numFmtId="0" fontId="61" fillId="0" borderId="0" xfId="0" applyFont="1" applyAlignment="1">
      <alignment horizontal="center" vertical="center" wrapText="1"/>
    </xf>
    <xf numFmtId="0" fontId="61" fillId="0" borderId="0" xfId="0" applyFont="1" applyAlignment="1">
      <alignment horizontal="center"/>
    </xf>
    <xf numFmtId="0" fontId="61" fillId="8" borderId="0" xfId="0" applyFont="1" applyFill="1" applyAlignment="1">
      <alignment horizontal="center"/>
    </xf>
    <xf numFmtId="0" fontId="62" fillId="8" borderId="0" xfId="0" applyFont="1" applyFill="1" applyAlignment="1">
      <alignment horizontal="center"/>
    </xf>
    <xf numFmtId="2" fontId="62" fillId="8" borderId="0" xfId="0" applyNumberFormat="1" applyFont="1" applyFill="1" applyAlignment="1">
      <alignment horizontal="center"/>
    </xf>
    <xf numFmtId="0" fontId="60" fillId="0" borderId="0" xfId="0" applyFont="1"/>
    <xf numFmtId="2" fontId="60" fillId="0" borderId="0" xfId="0" applyNumberFormat="1" applyFont="1"/>
    <xf numFmtId="0" fontId="2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7" borderId="0" xfId="0" applyFont="1" applyFill="1"/>
    <xf numFmtId="0" fontId="1" fillId="7" borderId="0" xfId="0" applyFont="1" applyFill="1"/>
    <xf numFmtId="44" fontId="0" fillId="0" borderId="0" xfId="0" applyNumberFormat="1"/>
    <xf numFmtId="0" fontId="59" fillId="0" borderId="13" xfId="0" applyFont="1" applyBorder="1" applyAlignment="1">
      <alignment horizontal="center" vertical="center"/>
    </xf>
    <xf numFmtId="0" fontId="59" fillId="0" borderId="13" xfId="0" applyFont="1" applyBorder="1" applyAlignment="1">
      <alignment vertical="center"/>
    </xf>
    <xf numFmtId="0" fontId="59" fillId="0" borderId="13" xfId="0" applyFont="1" applyBorder="1" applyAlignment="1">
      <alignment vertical="center" wrapText="1"/>
    </xf>
    <xf numFmtId="2" fontId="59" fillId="0" borderId="13" xfId="0" applyNumberFormat="1" applyFont="1" applyBorder="1" applyAlignment="1">
      <alignment vertical="center"/>
    </xf>
    <xf numFmtId="2" fontId="59" fillId="0" borderId="13" xfId="0" applyNumberFormat="1" applyFont="1" applyBorder="1" applyAlignment="1">
      <alignment horizontal="center" vertical="center"/>
    </xf>
    <xf numFmtId="0" fontId="59" fillId="0" borderId="0" xfId="0" applyFont="1" applyAlignment="1">
      <alignment vertical="center"/>
    </xf>
    <xf numFmtId="0" fontId="59" fillId="0" borderId="13" xfId="0" applyFont="1" applyBorder="1"/>
    <xf numFmtId="0" fontId="59" fillId="0" borderId="13" xfId="0" applyFont="1" applyBorder="1" applyAlignment="1">
      <alignment horizontal="center"/>
    </xf>
    <xf numFmtId="2" fontId="59" fillId="0" borderId="13" xfId="0" applyNumberFormat="1" applyFont="1" applyBorder="1" applyAlignment="1">
      <alignment horizontal="center"/>
    </xf>
    <xf numFmtId="2" fontId="59" fillId="0" borderId="13" xfId="0" applyNumberFormat="1" applyFont="1" applyBorder="1"/>
    <xf numFmtId="175" fontId="59" fillId="0" borderId="0" xfId="0" applyNumberFormat="1" applyFont="1"/>
    <xf numFmtId="2" fontId="59" fillId="0" borderId="14" xfId="0" applyNumberFormat="1" applyFont="1" applyBorder="1" applyAlignment="1">
      <alignment horizontal="center"/>
    </xf>
    <xf numFmtId="44" fontId="59" fillId="0" borderId="0" xfId="0" applyNumberFormat="1" applyFont="1"/>
    <xf numFmtId="0" fontId="59" fillId="0" borderId="13" xfId="0" applyFont="1" applyBorder="1" applyAlignment="1">
      <alignment horizontal="center" vertical="center" wrapText="1"/>
    </xf>
    <xf numFmtId="2" fontId="59" fillId="0" borderId="13" xfId="0" applyNumberFormat="1" applyFont="1" applyBorder="1" applyAlignment="1">
      <alignment vertical="center" wrapText="1"/>
    </xf>
    <xf numFmtId="2" fontId="59" fillId="0" borderId="13" xfId="0" applyNumberFormat="1" applyFont="1" applyBorder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59" fillId="0" borderId="13" xfId="0" applyFont="1" applyBorder="1" applyAlignment="1">
      <alignment wrapText="1"/>
    </xf>
    <xf numFmtId="44" fontId="59" fillId="0" borderId="0" xfId="10" applyFont="1" applyAlignment="1">
      <alignment vertical="center"/>
    </xf>
    <xf numFmtId="0" fontId="0" fillId="8" borderId="0" xfId="0" applyFill="1"/>
    <xf numFmtId="0" fontId="0" fillId="0" borderId="10" xfId="0" applyBorder="1"/>
    <xf numFmtId="0" fontId="0" fillId="0" borderId="8" xfId="0" applyBorder="1"/>
    <xf numFmtId="0" fontId="57" fillId="0" borderId="0" xfId="0" applyFont="1" applyAlignment="1">
      <alignment horizontal="left"/>
    </xf>
    <xf numFmtId="2" fontId="64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vertical="center"/>
    </xf>
    <xf numFmtId="0" fontId="0" fillId="16" borderId="1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 wrapText="1"/>
    </xf>
    <xf numFmtId="2" fontId="0" fillId="0" borderId="0" xfId="0" applyNumberFormat="1" applyAlignment="1">
      <alignment horizontal="left" vertical="center"/>
    </xf>
    <xf numFmtId="2" fontId="0" fillId="0" borderId="1" xfId="0" applyNumberFormat="1" applyBorder="1" applyAlignment="1">
      <alignment horizontal="center"/>
    </xf>
    <xf numFmtId="0" fontId="56" fillId="17" borderId="1" xfId="0" applyFont="1" applyFill="1" applyBorder="1" applyAlignment="1">
      <alignment horizontal="center"/>
    </xf>
    <xf numFmtId="44" fontId="0" fillId="0" borderId="0" xfId="10" applyFont="1"/>
    <xf numFmtId="0" fontId="5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56" fillId="0" borderId="1" xfId="0" applyNumberFormat="1" applyFont="1" applyBorder="1" applyAlignment="1">
      <alignment horizontal="center"/>
    </xf>
    <xf numFmtId="2" fontId="0" fillId="0" borderId="0" xfId="10" applyNumberFormat="1" applyFont="1"/>
    <xf numFmtId="44" fontId="56" fillId="0" borderId="0" xfId="0" applyNumberFormat="1" applyFont="1"/>
    <xf numFmtId="2" fontId="0" fillId="0" borderId="0" xfId="0" applyNumberFormat="1" applyAlignment="1">
      <alignment horizontal="center"/>
    </xf>
    <xf numFmtId="2" fontId="56" fillId="0" borderId="0" xfId="0" applyNumberFormat="1" applyFont="1" applyAlignment="1">
      <alignment horizontal="center"/>
    </xf>
    <xf numFmtId="44" fontId="0" fillId="0" borderId="0" xfId="10" applyFont="1" applyAlignment="1">
      <alignment horizontal="center" vertical="center"/>
    </xf>
    <xf numFmtId="0" fontId="56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56" fillId="0" borderId="1" xfId="0" applyNumberFormat="1" applyFont="1" applyBorder="1" applyAlignment="1">
      <alignment horizontal="center" vertical="center"/>
    </xf>
    <xf numFmtId="44" fontId="0" fillId="0" borderId="0" xfId="10" applyFont="1" applyAlignment="1">
      <alignment vertical="center"/>
    </xf>
    <xf numFmtId="44" fontId="0" fillId="0" borderId="0" xfId="0" applyNumberFormat="1" applyAlignment="1">
      <alignment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5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6" fillId="17" borderId="1" xfId="0" applyFont="1" applyFill="1" applyBorder="1" applyAlignment="1">
      <alignment horizontal="center" vertical="center"/>
    </xf>
    <xf numFmtId="0" fontId="56" fillId="17" borderId="1" xfId="0" applyFont="1" applyFill="1" applyBorder="1" applyAlignment="1">
      <alignment horizontal="center" vertical="center" wrapText="1"/>
    </xf>
    <xf numFmtId="0" fontId="56" fillId="0" borderId="0" xfId="0" applyFont="1" applyAlignment="1">
      <alignment horizontal="right"/>
    </xf>
    <xf numFmtId="44" fontId="56" fillId="0" borderId="0" xfId="10" applyFont="1"/>
    <xf numFmtId="2" fontId="57" fillId="0" borderId="0" xfId="0" applyNumberFormat="1" applyFont="1" applyAlignment="1">
      <alignment horizontal="center"/>
    </xf>
    <xf numFmtId="2" fontId="66" fillId="0" borderId="0" xfId="0" applyNumberFormat="1" applyFont="1"/>
    <xf numFmtId="44" fontId="57" fillId="0" borderId="0" xfId="0" applyNumberFormat="1" applyFont="1"/>
    <xf numFmtId="0" fontId="56" fillId="0" borderId="0" xfId="0" applyFont="1" applyAlignment="1">
      <alignment horizontal="center"/>
    </xf>
    <xf numFmtId="0" fontId="56" fillId="0" borderId="0" xfId="0" applyFont="1" applyAlignment="1">
      <alignment horizontal="left"/>
    </xf>
    <xf numFmtId="168" fontId="21" fillId="6" borderId="0" xfId="2" applyNumberFormat="1" applyFont="1" applyFill="1" applyAlignment="1">
      <alignment horizontal="right" vertical="top" wrapText="1"/>
    </xf>
    <xf numFmtId="0" fontId="20" fillId="6" borderId="0" xfId="2" applyFont="1" applyFill="1" applyAlignment="1">
      <alignment horizontal="right" vertical="top" wrapText="1"/>
    </xf>
    <xf numFmtId="4" fontId="20" fillId="6" borderId="0" xfId="2" applyNumberFormat="1" applyFont="1" applyFill="1" applyAlignment="1">
      <alignment horizontal="right" vertical="top" wrapText="1"/>
    </xf>
    <xf numFmtId="168" fontId="20" fillId="0" borderId="1" xfId="2" applyNumberFormat="1" applyFont="1" applyBorder="1" applyAlignment="1">
      <alignment horizontal="right" vertical="top" wrapText="1"/>
    </xf>
    <xf numFmtId="4" fontId="20" fillId="0" borderId="1" xfId="2" applyNumberFormat="1" applyFont="1" applyBorder="1" applyAlignment="1">
      <alignment horizontal="right" vertical="top" wrapText="1"/>
    </xf>
    <xf numFmtId="44" fontId="21" fillId="6" borderId="0" xfId="10" applyFont="1" applyFill="1" applyAlignment="1">
      <alignment horizontal="right" vertical="top" wrapText="1"/>
    </xf>
    <xf numFmtId="0" fontId="17" fillId="18" borderId="0" xfId="2" applyFill="1"/>
    <xf numFmtId="0" fontId="18" fillId="18" borderId="1" xfId="2" applyFont="1" applyFill="1" applyBorder="1" applyAlignment="1">
      <alignment horizontal="left" vertical="top" wrapText="1"/>
    </xf>
    <xf numFmtId="0" fontId="18" fillId="18" borderId="1" xfId="2" applyFont="1" applyFill="1" applyBorder="1" applyAlignment="1">
      <alignment horizontal="right" vertical="top" wrapText="1"/>
    </xf>
    <xf numFmtId="44" fontId="46" fillId="15" borderId="1" xfId="10" applyFont="1" applyFill="1" applyBorder="1" applyAlignment="1">
      <alignment horizontal="right" vertical="top" wrapText="1"/>
    </xf>
    <xf numFmtId="9" fontId="46" fillId="0" borderId="1" xfId="11" applyFont="1" applyFill="1" applyBorder="1" applyAlignment="1">
      <alignment horizontal="right" vertical="top" wrapText="1"/>
    </xf>
    <xf numFmtId="10" fontId="46" fillId="0" borderId="1" xfId="11" applyNumberFormat="1" applyFont="1" applyFill="1" applyBorder="1" applyAlignment="1">
      <alignment horizontal="right" vertical="top" wrapText="1"/>
    </xf>
    <xf numFmtId="44" fontId="46" fillId="0" borderId="1" xfId="10" applyFont="1" applyFill="1" applyBorder="1" applyAlignment="1">
      <alignment horizontal="right" vertical="top" wrapText="1"/>
    </xf>
    <xf numFmtId="44" fontId="46" fillId="0" borderId="1" xfId="2" applyNumberFormat="1" applyFont="1" applyBorder="1" applyAlignment="1">
      <alignment horizontal="right" vertical="top" wrapText="1"/>
    </xf>
    <xf numFmtId="0" fontId="46" fillId="0" borderId="0" xfId="2" applyFont="1" applyAlignment="1">
      <alignment horizontal="center" vertical="center" wrapText="1"/>
    </xf>
    <xf numFmtId="44" fontId="46" fillId="0" borderId="0" xfId="2" applyNumberFormat="1" applyFont="1" applyAlignment="1">
      <alignment horizontal="right" vertical="top" wrapText="1"/>
    </xf>
    <xf numFmtId="0" fontId="55" fillId="18" borderId="0" xfId="2" applyFont="1" applyFill="1" applyAlignment="1">
      <alignment horizontal="right" vertical="center" wrapText="1"/>
    </xf>
    <xf numFmtId="44" fontId="55" fillId="18" borderId="0" xfId="10" applyFont="1" applyFill="1" applyBorder="1" applyAlignment="1">
      <alignment horizontal="right" vertical="top" wrapText="1"/>
    </xf>
    <xf numFmtId="10" fontId="46" fillId="15" borderId="1" xfId="11" applyNumberFormat="1" applyFont="1" applyFill="1" applyBorder="1" applyAlignment="1">
      <alignment horizontal="right" vertical="top" wrapText="1"/>
    </xf>
    <xf numFmtId="164" fontId="49" fillId="18" borderId="0" xfId="10" applyNumberFormat="1" applyFont="1" applyFill="1" applyAlignment="1">
      <alignment vertical="center" wrapText="1"/>
    </xf>
    <xf numFmtId="10" fontId="21" fillId="15" borderId="1" xfId="2" applyNumberFormat="1" applyFont="1" applyFill="1" applyBorder="1" applyAlignment="1">
      <alignment horizontal="right" vertical="top" wrapText="1"/>
    </xf>
    <xf numFmtId="44" fontId="21" fillId="15" borderId="1" xfId="2" applyNumberFormat="1" applyFont="1" applyFill="1" applyBorder="1" applyAlignment="1">
      <alignment horizontal="right" vertical="top" wrapText="1"/>
    </xf>
    <xf numFmtId="0" fontId="21" fillId="15" borderId="1" xfId="2" applyFont="1" applyFill="1" applyBorder="1" applyAlignment="1">
      <alignment horizontal="right" vertical="top" wrapText="1"/>
    </xf>
    <xf numFmtId="0" fontId="26" fillId="0" borderId="0" xfId="2" applyFont="1"/>
    <xf numFmtId="0" fontId="53" fillId="6" borderId="0" xfId="2" applyFont="1" applyFill="1" applyAlignment="1">
      <alignment horizontal="left" vertical="top" wrapText="1"/>
    </xf>
    <xf numFmtId="0" fontId="53" fillId="0" borderId="0" xfId="2" applyFont="1" applyAlignment="1">
      <alignment horizontal="left"/>
    </xf>
    <xf numFmtId="0" fontId="55" fillId="15" borderId="1" xfId="2" applyFont="1" applyFill="1" applyBorder="1" applyAlignment="1">
      <alignment horizontal="center" vertical="top" wrapText="1"/>
    </xf>
    <xf numFmtId="0" fontId="55" fillId="15" borderId="1" xfId="2" applyFont="1" applyFill="1" applyBorder="1" applyAlignment="1">
      <alignment horizontal="left" vertical="top" wrapText="1"/>
    </xf>
    <xf numFmtId="0" fontId="49" fillId="6" borderId="0" xfId="2" applyFont="1" applyFill="1" applyAlignment="1">
      <alignment horizontal="right" vertical="top" wrapText="1"/>
    </xf>
    <xf numFmtId="0" fontId="54" fillId="6" borderId="0" xfId="2" applyFont="1" applyFill="1" applyAlignment="1">
      <alignment horizontal="right" wrapText="1"/>
    </xf>
    <xf numFmtId="0" fontId="54" fillId="0" borderId="0" xfId="2" applyFont="1" applyAlignment="1">
      <alignment horizontal="right"/>
    </xf>
    <xf numFmtId="0" fontId="54" fillId="6" borderId="0" xfId="2" applyFont="1" applyFill="1" applyAlignment="1">
      <alignment horizontal="left" wrapText="1"/>
    </xf>
    <xf numFmtId="0" fontId="54" fillId="0" borderId="0" xfId="2" applyFont="1" applyAlignment="1">
      <alignment horizontal="left"/>
    </xf>
    <xf numFmtId="0" fontId="49" fillId="6" borderId="0" xfId="2" applyFont="1" applyFill="1" applyAlignment="1">
      <alignment horizontal="left" vertical="top" wrapText="1"/>
    </xf>
    <xf numFmtId="10" fontId="49" fillId="6" borderId="0" xfId="2" applyNumberFormat="1" applyFont="1" applyFill="1" applyAlignment="1">
      <alignment horizontal="left" vertical="top" wrapText="1"/>
    </xf>
    <xf numFmtId="0" fontId="51" fillId="6" borderId="0" xfId="2" applyFont="1" applyFill="1" applyAlignment="1">
      <alignment horizontal="center" vertical="center" wrapText="1"/>
    </xf>
    <xf numFmtId="0" fontId="52" fillId="0" borderId="0" xfId="2" applyFont="1" applyAlignment="1">
      <alignment vertical="center"/>
    </xf>
    <xf numFmtId="0" fontId="51" fillId="6" borderId="1" xfId="2" applyFont="1" applyFill="1" applyBorder="1" applyAlignment="1">
      <alignment horizontal="center" vertical="top" wrapText="1"/>
    </xf>
    <xf numFmtId="0" fontId="51" fillId="6" borderId="1" xfId="2" applyFont="1" applyFill="1" applyBorder="1" applyAlignment="1">
      <alignment horizontal="left" vertical="top" wrapText="1"/>
    </xf>
    <xf numFmtId="0" fontId="55" fillId="15" borderId="2" xfId="2" applyFont="1" applyFill="1" applyBorder="1" applyAlignment="1">
      <alignment horizontal="center" vertical="top" wrapText="1"/>
    </xf>
    <xf numFmtId="0" fontId="55" fillId="15" borderId="3" xfId="2" applyFont="1" applyFill="1" applyBorder="1" applyAlignment="1">
      <alignment horizontal="center" vertical="top" wrapText="1"/>
    </xf>
    <xf numFmtId="0" fontId="55" fillId="15" borderId="4" xfId="2" applyFont="1" applyFill="1" applyBorder="1" applyAlignment="1">
      <alignment horizontal="center" vertical="top" wrapText="1"/>
    </xf>
    <xf numFmtId="4" fontId="21" fillId="6" borderId="0" xfId="2" applyNumberFormat="1" applyFont="1" applyFill="1" applyAlignment="1">
      <alignment horizontal="right" vertical="top" wrapText="1"/>
    </xf>
    <xf numFmtId="0" fontId="21" fillId="6" borderId="0" xfId="2" applyFont="1" applyFill="1" applyAlignment="1">
      <alignment horizontal="right" vertical="top" wrapText="1"/>
    </xf>
    <xf numFmtId="0" fontId="20" fillId="6" borderId="0" xfId="2" applyFont="1" applyFill="1" applyAlignment="1">
      <alignment horizontal="center" vertical="top" wrapText="1"/>
    </xf>
    <xf numFmtId="0" fontId="17" fillId="0" borderId="0" xfId="2"/>
    <xf numFmtId="0" fontId="21" fillId="6" borderId="0" xfId="2" applyFont="1" applyFill="1" applyAlignment="1">
      <alignment horizontal="left" vertical="top" wrapText="1"/>
    </xf>
    <xf numFmtId="0" fontId="18" fillId="6" borderId="0" xfId="2" applyFont="1" applyFill="1" applyAlignment="1">
      <alignment horizontal="left" vertical="top" wrapText="1"/>
    </xf>
    <xf numFmtId="10" fontId="21" fillId="6" borderId="0" xfId="2" applyNumberFormat="1" applyFont="1" applyFill="1" applyAlignment="1">
      <alignment horizontal="left" vertical="top" wrapText="1"/>
    </xf>
    <xf numFmtId="0" fontId="18" fillId="6" borderId="0" xfId="2" applyFont="1" applyFill="1" applyAlignment="1">
      <alignment horizontal="center" vertical="center" wrapText="1"/>
    </xf>
    <xf numFmtId="0" fontId="17" fillId="0" borderId="0" xfId="2" applyAlignment="1">
      <alignment vertical="center"/>
    </xf>
    <xf numFmtId="0" fontId="18" fillId="6" borderId="0" xfId="2" applyFont="1" applyFill="1" applyAlignment="1">
      <alignment horizontal="center" wrapText="1"/>
    </xf>
    <xf numFmtId="4" fontId="49" fillId="18" borderId="0" xfId="2" applyNumberFormat="1" applyFont="1" applyFill="1" applyAlignment="1">
      <alignment horizontal="right" vertical="center" wrapText="1"/>
    </xf>
    <xf numFmtId="0" fontId="2" fillId="5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5" borderId="2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2" fillId="2" borderId="0" xfId="0" applyFont="1" applyFill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/>
    </xf>
    <xf numFmtId="0" fontId="12" fillId="2" borderId="8" xfId="0" applyFont="1" applyFill="1" applyBorder="1" applyAlignment="1">
      <alignment horizontal="left" vertical="center" wrapText="1"/>
    </xf>
    <xf numFmtId="44" fontId="43" fillId="0" borderId="0" xfId="10" applyFont="1" applyAlignment="1">
      <alignment horizontal="right"/>
    </xf>
    <xf numFmtId="0" fontId="38" fillId="0" borderId="0" xfId="0" applyFont="1" applyAlignment="1">
      <alignment horizontal="center"/>
    </xf>
    <xf numFmtId="44" fontId="39" fillId="0" borderId="0" xfId="10" applyFont="1" applyAlignment="1">
      <alignment horizontal="center"/>
    </xf>
    <xf numFmtId="0" fontId="41" fillId="10" borderId="11" xfId="0" applyFont="1" applyFill="1" applyBorder="1" applyAlignment="1">
      <alignment horizontal="right" vertical="center"/>
    </xf>
    <xf numFmtId="0" fontId="41" fillId="10" borderId="0" xfId="0" applyFont="1" applyFill="1" applyAlignment="1">
      <alignment horizontal="right" vertical="center"/>
    </xf>
    <xf numFmtId="44" fontId="41" fillId="10" borderId="0" xfId="0" applyNumberFormat="1" applyFont="1" applyFill="1" applyAlignment="1">
      <alignment horizontal="center" vertical="center"/>
    </xf>
    <xf numFmtId="14" fontId="45" fillId="0" borderId="0" xfId="0" applyNumberFormat="1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7" borderId="0" xfId="0" applyFont="1" applyFill="1" applyAlignment="1">
      <alignment horizontal="center"/>
    </xf>
    <xf numFmtId="0" fontId="61" fillId="8" borderId="0" xfId="0" applyFont="1" applyFill="1" applyAlignment="1">
      <alignment horizontal="center" vertical="center" wrapText="1"/>
    </xf>
    <xf numFmtId="0" fontId="61" fillId="8" borderId="0" xfId="0" applyFont="1" applyFill="1" applyAlignment="1">
      <alignment horizontal="center"/>
    </xf>
    <xf numFmtId="2" fontId="63" fillId="0" borderId="14" xfId="0" applyNumberFormat="1" applyFont="1" applyBorder="1" applyAlignment="1">
      <alignment horizontal="center"/>
    </xf>
    <xf numFmtId="2" fontId="63" fillId="0" borderId="15" xfId="0" applyNumberFormat="1" applyFont="1" applyBorder="1" applyAlignment="1">
      <alignment horizontal="center"/>
    </xf>
    <xf numFmtId="2" fontId="63" fillId="0" borderId="16" xfId="0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65" fillId="0" borderId="1" xfId="0" applyFont="1" applyBorder="1" applyAlignment="1">
      <alignment horizontal="center"/>
    </xf>
    <xf numFmtId="0" fontId="64" fillId="0" borderId="0" xfId="0" applyFont="1" applyAlignment="1">
      <alignment horizontal="right"/>
    </xf>
    <xf numFmtId="0" fontId="56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right"/>
    </xf>
    <xf numFmtId="0" fontId="18" fillId="6" borderId="1" xfId="2" applyFont="1" applyFill="1" applyBorder="1" applyAlignment="1">
      <alignment horizontal="left" vertical="top" wrapText="1"/>
    </xf>
    <xf numFmtId="167" fontId="14" fillId="12" borderId="2" xfId="2" applyNumberFormat="1" applyFont="1" applyFill="1" applyBorder="1" applyAlignment="1">
      <alignment horizontal="center" vertical="top" wrapText="1"/>
    </xf>
    <xf numFmtId="167" fontId="14" fillId="12" borderId="4" xfId="2" applyNumberFormat="1" applyFont="1" applyFill="1" applyBorder="1" applyAlignment="1">
      <alignment horizontal="center" vertical="top" wrapText="1"/>
    </xf>
    <xf numFmtId="0" fontId="49" fillId="0" borderId="0" xfId="2" applyFont="1" applyAlignment="1">
      <alignment horizontal="center" vertical="center" wrapText="1"/>
    </xf>
    <xf numFmtId="0" fontId="50" fillId="0" borderId="0" xfId="2" applyFont="1" applyAlignment="1">
      <alignment vertical="center"/>
    </xf>
    <xf numFmtId="0" fontId="18" fillId="6" borderId="0" xfId="2" applyFont="1" applyFill="1" applyAlignment="1">
      <alignment horizontal="left" wrapText="1"/>
    </xf>
    <xf numFmtId="0" fontId="21" fillId="0" borderId="1" xfId="2" applyFont="1" applyBorder="1" applyAlignment="1">
      <alignment horizontal="right" vertical="top" wrapText="1"/>
    </xf>
    <xf numFmtId="0" fontId="20" fillId="0" borderId="0" xfId="2" applyFont="1" applyAlignment="1">
      <alignment horizontal="right" vertical="top" wrapText="1"/>
    </xf>
    <xf numFmtId="0" fontId="20" fillId="0" borderId="0" xfId="2" applyFont="1" applyAlignment="1">
      <alignment horizontal="left" vertical="top" wrapText="1"/>
    </xf>
    <xf numFmtId="0" fontId="18" fillId="6" borderId="1" xfId="2" applyFont="1" applyFill="1" applyBorder="1" applyAlignment="1">
      <alignment horizontal="right" vertical="top" wrapText="1"/>
    </xf>
    <xf numFmtId="44" fontId="20" fillId="0" borderId="1" xfId="10" applyFont="1" applyFill="1" applyBorder="1" applyAlignment="1">
      <alignment horizontal="right" vertical="top" wrapText="1"/>
    </xf>
    <xf numFmtId="44" fontId="20" fillId="0" borderId="1" xfId="10" applyFont="1" applyFill="1" applyBorder="1" applyAlignment="1">
      <alignment horizontal="left" vertical="top" wrapText="1"/>
    </xf>
    <xf numFmtId="0" fontId="20" fillId="0" borderId="1" xfId="2" applyFont="1" applyBorder="1" applyAlignment="1">
      <alignment horizontal="left" vertical="top" wrapText="1"/>
    </xf>
    <xf numFmtId="167" fontId="14" fillId="12" borderId="1" xfId="2" applyNumberFormat="1" applyFont="1" applyFill="1" applyBorder="1" applyAlignment="1">
      <alignment horizontal="center" vertical="top" wrapText="1"/>
    </xf>
    <xf numFmtId="0" fontId="21" fillId="6" borderId="22" xfId="2" applyFont="1" applyFill="1" applyBorder="1" applyAlignment="1">
      <alignment horizontal="right" vertical="top" wrapText="1"/>
    </xf>
    <xf numFmtId="0" fontId="21" fillId="6" borderId="23" xfId="2" applyFont="1" applyFill="1" applyBorder="1" applyAlignment="1">
      <alignment horizontal="right" vertical="top" wrapText="1"/>
    </xf>
    <xf numFmtId="44" fontId="20" fillId="0" borderId="2" xfId="10" applyFont="1" applyFill="1" applyBorder="1" applyAlignment="1">
      <alignment horizontal="left" vertical="top" wrapText="1"/>
    </xf>
    <xf numFmtId="44" fontId="20" fillId="0" borderId="3" xfId="10" applyFont="1" applyFill="1" applyBorder="1" applyAlignment="1">
      <alignment horizontal="left" vertical="top" wrapText="1"/>
    </xf>
    <xf numFmtId="44" fontId="20" fillId="0" borderId="4" xfId="10" applyFont="1" applyFill="1" applyBorder="1" applyAlignment="1">
      <alignment horizontal="left" vertical="top" wrapText="1"/>
    </xf>
    <xf numFmtId="168" fontId="20" fillId="0" borderId="1" xfId="2" applyNumberFormat="1" applyFont="1" applyBorder="1" applyAlignment="1">
      <alignment horizontal="right" vertical="top" wrapText="1"/>
    </xf>
    <xf numFmtId="44" fontId="20" fillId="0" borderId="2" xfId="10" applyFont="1" applyFill="1" applyBorder="1" applyAlignment="1">
      <alignment horizontal="right" vertical="top" wrapText="1"/>
    </xf>
    <xf numFmtId="44" fontId="20" fillId="0" borderId="3" xfId="10" applyFont="1" applyFill="1" applyBorder="1" applyAlignment="1">
      <alignment horizontal="right" vertical="top" wrapText="1"/>
    </xf>
    <xf numFmtId="44" fontId="20" fillId="0" borderId="4" xfId="10" applyFont="1" applyFill="1" applyBorder="1" applyAlignment="1">
      <alignment horizontal="right" vertical="top" wrapText="1"/>
    </xf>
    <xf numFmtId="0" fontId="46" fillId="15" borderId="1" xfId="2" applyFont="1" applyFill="1" applyBorder="1" applyAlignment="1">
      <alignment horizontal="center" vertical="center" wrapText="1"/>
    </xf>
    <xf numFmtId="0" fontId="46" fillId="0" borderId="1" xfId="2" applyFont="1" applyBorder="1" applyAlignment="1">
      <alignment horizontal="center" vertical="center" wrapText="1"/>
    </xf>
    <xf numFmtId="0" fontId="49" fillId="6" borderId="0" xfId="2" applyFont="1" applyFill="1" applyAlignment="1">
      <alignment horizontal="center" vertical="center" wrapText="1"/>
    </xf>
    <xf numFmtId="0" fontId="27" fillId="2" borderId="0" xfId="6" applyFont="1" applyFill="1" applyAlignment="1">
      <alignment horizontal="left" vertical="center" wrapText="1"/>
    </xf>
    <xf numFmtId="0" fontId="25" fillId="2" borderId="0" xfId="6" applyFont="1" applyFill="1" applyAlignment="1">
      <alignment horizontal="center" vertical="center"/>
    </xf>
    <xf numFmtId="0" fontId="26" fillId="0" borderId="0" xfId="2" applyFont="1" applyAlignment="1">
      <alignment horizontal="left"/>
    </xf>
    <xf numFmtId="0" fontId="28" fillId="18" borderId="1" xfId="6" applyFont="1" applyFill="1" applyBorder="1" applyAlignment="1">
      <alignment horizontal="center" vertical="center"/>
    </xf>
    <xf numFmtId="0" fontId="26" fillId="2" borderId="1" xfId="6" applyFont="1" applyFill="1" applyBorder="1" applyAlignment="1">
      <alignment horizontal="center" vertical="center"/>
    </xf>
    <xf numFmtId="0" fontId="32" fillId="2" borderId="0" xfId="6" applyFont="1" applyFill="1" applyAlignment="1">
      <alignment horizontal="center" vertical="center"/>
    </xf>
    <xf numFmtId="0" fontId="30" fillId="2" borderId="0" xfId="6" applyFont="1" applyFill="1" applyAlignment="1">
      <alignment horizontal="center" vertical="center"/>
    </xf>
    <xf numFmtId="0" fontId="28" fillId="2" borderId="13" xfId="6" applyFont="1" applyFill="1" applyBorder="1" applyAlignment="1">
      <alignment horizontal="center" vertical="center" wrapText="1"/>
    </xf>
    <xf numFmtId="0" fontId="34" fillId="2" borderId="0" xfId="2" applyFont="1" applyFill="1" applyAlignment="1">
      <alignment horizontal="center" vertical="center"/>
    </xf>
    <xf numFmtId="10" fontId="28" fillId="15" borderId="0" xfId="6" applyNumberFormat="1" applyFont="1" applyFill="1" applyAlignment="1">
      <alignment horizontal="center" vertical="center"/>
    </xf>
    <xf numFmtId="0" fontId="33" fillId="15" borderId="0" xfId="6" applyFont="1" applyFill="1" applyAlignment="1">
      <alignment vertical="center"/>
    </xf>
    <xf numFmtId="0" fontId="28" fillId="2" borderId="0" xfId="6" applyFont="1" applyFill="1" applyAlignment="1">
      <alignment horizontal="center" vertical="center"/>
    </xf>
    <xf numFmtId="0" fontId="28" fillId="2" borderId="0" xfId="6" applyFont="1" applyFill="1" applyAlignment="1">
      <alignment vertical="center"/>
    </xf>
    <xf numFmtId="0" fontId="33" fillId="2" borderId="13" xfId="6" applyFont="1" applyFill="1" applyBorder="1" applyAlignment="1">
      <alignment horizontal="center" vertical="center" wrapText="1"/>
    </xf>
    <xf numFmtId="0" fontId="33" fillId="2" borderId="15" xfId="6" applyFont="1" applyFill="1" applyBorder="1" applyAlignment="1">
      <alignment horizontal="right" vertical="center"/>
    </xf>
    <xf numFmtId="0" fontId="33" fillId="2" borderId="14" xfId="6" applyFont="1" applyFill="1" applyBorder="1" applyAlignment="1">
      <alignment horizontal="center" vertical="center" wrapText="1"/>
    </xf>
    <xf numFmtId="0" fontId="33" fillId="2" borderId="15" xfId="6" applyFont="1" applyFill="1" applyBorder="1" applyAlignment="1">
      <alignment horizontal="center" vertical="center" wrapText="1"/>
    </xf>
    <xf numFmtId="0" fontId="33" fillId="2" borderId="16" xfId="6" applyFont="1" applyFill="1" applyBorder="1" applyAlignment="1">
      <alignment horizontal="center" vertical="center" wrapText="1"/>
    </xf>
    <xf numFmtId="0" fontId="35" fillId="15" borderId="14" xfId="6" applyFont="1" applyFill="1" applyBorder="1" applyAlignment="1">
      <alignment horizontal="center" vertical="center"/>
    </xf>
    <xf numFmtId="0" fontId="35" fillId="15" borderId="15" xfId="6" applyFont="1" applyFill="1" applyBorder="1" applyAlignment="1">
      <alignment horizontal="center" vertical="center"/>
    </xf>
    <xf numFmtId="0" fontId="35" fillId="15" borderId="16" xfId="6" applyFont="1" applyFill="1" applyBorder="1" applyAlignment="1">
      <alignment horizontal="center" vertical="center"/>
    </xf>
    <xf numFmtId="0" fontId="28" fillId="15" borderId="15" xfId="6" applyFont="1" applyFill="1" applyBorder="1" applyAlignment="1">
      <alignment horizontal="left" vertical="center"/>
    </xf>
    <xf numFmtId="0" fontId="33" fillId="2" borderId="15" xfId="6" applyFont="1" applyFill="1" applyBorder="1" applyAlignment="1">
      <alignment horizontal="left" vertical="center"/>
    </xf>
    <xf numFmtId="0" fontId="28" fillId="15" borderId="14" xfId="6" applyFont="1" applyFill="1" applyBorder="1" applyAlignment="1">
      <alignment horizontal="right" vertical="center"/>
    </xf>
    <xf numFmtId="0" fontId="28" fillId="15" borderId="15" xfId="6" applyFont="1" applyFill="1" applyBorder="1" applyAlignment="1">
      <alignment horizontal="right" vertical="center"/>
    </xf>
  </cellXfs>
  <cellStyles count="13">
    <cellStyle name="Moeda" xfId="10" builtinId="4"/>
    <cellStyle name="Normal" xfId="0" builtinId="0"/>
    <cellStyle name="Normal 10" xfId="4" xr:uid="{00000000-0005-0000-0000-000002000000}"/>
    <cellStyle name="Normal 2" xfId="2" xr:uid="{00000000-0005-0000-0000-000003000000}"/>
    <cellStyle name="Normal 2 2" xfId="6" xr:uid="{00000000-0005-0000-0000-000004000000}"/>
    <cellStyle name="Normal 2 3" xfId="9" xr:uid="{00000000-0005-0000-0000-000005000000}"/>
    <cellStyle name="Normal 2 3 2" xfId="12" xr:uid="{00000000-0005-0000-0000-000006000000}"/>
    <cellStyle name="Normal 7" xfId="3" xr:uid="{00000000-0005-0000-0000-000007000000}"/>
    <cellStyle name="Normal 8" xfId="5" xr:uid="{00000000-0005-0000-0000-000008000000}"/>
    <cellStyle name="Porcentagem" xfId="11" builtinId="5"/>
    <cellStyle name="Porcentagem 2 10" xfId="8" xr:uid="{00000000-0005-0000-0000-00000A000000}"/>
    <cellStyle name="Separador de milhares 12 2" xfId="7" xr:uid="{00000000-0005-0000-0000-00000B000000}"/>
    <cellStyle name="Vírgula 2" xfId="1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2.xml"/><Relationship Id="rId47" Type="http://schemas.openxmlformats.org/officeDocument/2006/relationships/externalLink" Target="externalLinks/externalLink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6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jpe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jpeg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3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500062</xdr:rowOff>
    </xdr:from>
    <xdr:to>
      <xdr:col>3</xdr:col>
      <xdr:colOff>251142</xdr:colOff>
      <xdr:row>1</xdr:row>
      <xdr:rowOff>999807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2468"/>
          <a:ext cx="2322830" cy="499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</xdr:colOff>
      <xdr:row>0</xdr:row>
      <xdr:rowOff>9314</xdr:rowOff>
    </xdr:from>
    <xdr:to>
      <xdr:col>2</xdr:col>
      <xdr:colOff>6005</xdr:colOff>
      <xdr:row>1</xdr:row>
      <xdr:rowOff>990811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" y="9314"/>
          <a:ext cx="1520692" cy="116141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22436</xdr:colOff>
      <xdr:row>0</xdr:row>
      <xdr:rowOff>33021</xdr:rowOff>
    </xdr:from>
    <xdr:to>
      <xdr:col>1</xdr:col>
      <xdr:colOff>786208</xdr:colOff>
      <xdr:row>6</xdr:row>
      <xdr:rowOff>112395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36" y="33021"/>
          <a:ext cx="1520692" cy="115887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2541</xdr:colOff>
      <xdr:row>0</xdr:row>
      <xdr:rowOff>75355</xdr:rowOff>
    </xdr:from>
    <xdr:to>
      <xdr:col>2</xdr:col>
      <xdr:colOff>3043</xdr:colOff>
      <xdr:row>2</xdr:row>
      <xdr:rowOff>34502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1" y="75355"/>
          <a:ext cx="1524502" cy="115506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52917</xdr:colOff>
      <xdr:row>0</xdr:row>
      <xdr:rowOff>127000</xdr:rowOff>
    </xdr:from>
    <xdr:to>
      <xdr:col>1</xdr:col>
      <xdr:colOff>810339</xdr:colOff>
      <xdr:row>7</xdr:row>
      <xdr:rowOff>27727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17" y="127000"/>
          <a:ext cx="1524502" cy="115506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13123</xdr:colOff>
      <xdr:row>0</xdr:row>
      <xdr:rowOff>33020</xdr:rowOff>
    </xdr:from>
    <xdr:to>
      <xdr:col>2</xdr:col>
      <xdr:colOff>12355</xdr:colOff>
      <xdr:row>2</xdr:row>
      <xdr:rowOff>2327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23" y="33020"/>
          <a:ext cx="1525772" cy="116522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42334</xdr:rowOff>
    </xdr:from>
    <xdr:to>
      <xdr:col>1</xdr:col>
      <xdr:colOff>851402</xdr:colOff>
      <xdr:row>6</xdr:row>
      <xdr:rowOff>122978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42334"/>
          <a:ext cx="1523232" cy="1163954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41064</xdr:rowOff>
    </xdr:from>
    <xdr:to>
      <xdr:col>1</xdr:col>
      <xdr:colOff>752342</xdr:colOff>
      <xdr:row>2</xdr:row>
      <xdr:rowOff>9101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064"/>
          <a:ext cx="1513072" cy="116649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52916</xdr:rowOff>
    </xdr:from>
    <xdr:to>
      <xdr:col>1</xdr:col>
      <xdr:colOff>831505</xdr:colOff>
      <xdr:row>6</xdr:row>
      <xdr:rowOff>139910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52916"/>
          <a:ext cx="1516882" cy="116141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15664</xdr:colOff>
      <xdr:row>0</xdr:row>
      <xdr:rowOff>33021</xdr:rowOff>
    </xdr:from>
    <xdr:to>
      <xdr:col>2</xdr:col>
      <xdr:colOff>13626</xdr:colOff>
      <xdr:row>2</xdr:row>
      <xdr:rowOff>3598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64" y="33021"/>
          <a:ext cx="1524502" cy="1166494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52916</xdr:colOff>
      <xdr:row>0</xdr:row>
      <xdr:rowOff>74083</xdr:rowOff>
    </xdr:from>
    <xdr:to>
      <xdr:col>1</xdr:col>
      <xdr:colOff>809068</xdr:colOff>
      <xdr:row>6</xdr:row>
      <xdr:rowOff>155997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16" y="74083"/>
          <a:ext cx="1521962" cy="11639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559594</xdr:rowOff>
    </xdr:from>
    <xdr:to>
      <xdr:col>2</xdr:col>
      <xdr:colOff>941705</xdr:colOff>
      <xdr:row>2</xdr:row>
      <xdr:rowOff>47308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750094"/>
          <a:ext cx="2322830" cy="499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21170</xdr:rowOff>
    </xdr:from>
    <xdr:to>
      <xdr:col>1</xdr:col>
      <xdr:colOff>758692</xdr:colOff>
      <xdr:row>1</xdr:row>
      <xdr:rowOff>993777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70"/>
          <a:ext cx="1520692" cy="1152524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63500</xdr:rowOff>
    </xdr:from>
    <xdr:to>
      <xdr:col>1</xdr:col>
      <xdr:colOff>835315</xdr:colOff>
      <xdr:row>6</xdr:row>
      <xdr:rowOff>140334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63500"/>
          <a:ext cx="1520692" cy="1151254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</xdr:colOff>
      <xdr:row>0</xdr:row>
      <xdr:rowOff>9313</xdr:rowOff>
    </xdr:from>
    <xdr:to>
      <xdr:col>2</xdr:col>
      <xdr:colOff>9815</xdr:colOff>
      <xdr:row>1</xdr:row>
      <xdr:rowOff>993350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" y="9313"/>
          <a:ext cx="1524502" cy="1163954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74084</xdr:colOff>
      <xdr:row>0</xdr:row>
      <xdr:rowOff>63500</xdr:rowOff>
    </xdr:from>
    <xdr:to>
      <xdr:col>1</xdr:col>
      <xdr:colOff>835316</xdr:colOff>
      <xdr:row>6</xdr:row>
      <xdr:rowOff>149224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4" y="63500"/>
          <a:ext cx="1523232" cy="1163954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</xdr:colOff>
      <xdr:row>0</xdr:row>
      <xdr:rowOff>9313</xdr:rowOff>
    </xdr:from>
    <xdr:to>
      <xdr:col>2</xdr:col>
      <xdr:colOff>7275</xdr:colOff>
      <xdr:row>1</xdr:row>
      <xdr:rowOff>993350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13" y="8043"/>
          <a:ext cx="1523232" cy="1163107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74084</xdr:colOff>
      <xdr:row>0</xdr:row>
      <xdr:rowOff>63500</xdr:rowOff>
    </xdr:from>
    <xdr:to>
      <xdr:col>1</xdr:col>
      <xdr:colOff>835316</xdr:colOff>
      <xdr:row>6</xdr:row>
      <xdr:rowOff>149224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4" y="66040"/>
          <a:ext cx="1523232" cy="1149984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66041</xdr:rowOff>
    </xdr:from>
    <xdr:to>
      <xdr:col>2</xdr:col>
      <xdr:colOff>3042</xdr:colOff>
      <xdr:row>2</xdr:row>
      <xdr:rowOff>35348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311"/>
          <a:ext cx="1527042" cy="1161837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107103</xdr:rowOff>
    </xdr:from>
    <xdr:to>
      <xdr:col>1</xdr:col>
      <xdr:colOff>834892</xdr:colOff>
      <xdr:row>7</xdr:row>
      <xdr:rowOff>2750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40" y="108373"/>
          <a:ext cx="1525772" cy="1144057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351693</xdr:colOff>
      <xdr:row>0</xdr:row>
      <xdr:rowOff>87924</xdr:rowOff>
    </xdr:from>
    <xdr:to>
      <xdr:col>3</xdr:col>
      <xdr:colOff>886558</xdr:colOff>
      <xdr:row>3</xdr:row>
      <xdr:rowOff>152808</xdr:rowOff>
    </xdr:to>
    <xdr:pic>
      <xdr:nvPicPr>
        <xdr:cNvPr id="5" name="Imagem 24">
          <a:extLst>
            <a:ext uri="{FF2B5EF4-FFF2-40B4-BE49-F238E27FC236}">
              <a16:creationId xmlns:a16="http://schemas.microsoft.com/office/drawing/2014/main" id="{00000000-0008-0000-1C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7212" y="87924"/>
          <a:ext cx="1208942" cy="9367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212447</xdr:rowOff>
    </xdr:from>
    <xdr:ext cx="7858050" cy="718466"/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SpPr/>
      </xdr:nvSpPr>
      <xdr:spPr>
        <a:xfrm>
          <a:off x="0" y="212447"/>
          <a:ext cx="7858050" cy="71846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4000" b="1" cap="none" spc="50">
              <a:ln w="0"/>
              <a:solidFill>
                <a:sysClr val="windowText" lastClr="000000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COMPOSIÇÃO DE PREÇO UNITÁRIO</a:t>
          </a:r>
          <a:endParaRPr lang="pt-BR" sz="5400" b="1" cap="none" spc="50">
            <a:ln w="0"/>
            <a:solidFill>
              <a:sysClr val="windowText" lastClr="000000"/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95249</xdr:rowOff>
    </xdr:from>
    <xdr:to>
      <xdr:col>1</xdr:col>
      <xdr:colOff>841665</xdr:colOff>
      <xdr:row>7</xdr:row>
      <xdr:rowOff>1056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95249"/>
          <a:ext cx="1529582" cy="1132627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23706</xdr:colOff>
      <xdr:row>0</xdr:row>
      <xdr:rowOff>46567</xdr:rowOff>
    </xdr:from>
    <xdr:to>
      <xdr:col>2</xdr:col>
      <xdr:colOff>8968</xdr:colOff>
      <xdr:row>2</xdr:row>
      <xdr:rowOff>5714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46" y="45297"/>
          <a:ext cx="1509262" cy="1155487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105833</xdr:rowOff>
    </xdr:from>
    <xdr:to>
      <xdr:col>1</xdr:col>
      <xdr:colOff>796792</xdr:colOff>
      <xdr:row>7</xdr:row>
      <xdr:rowOff>2750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20" y="107103"/>
          <a:ext cx="1519422" cy="1140247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</xdr:colOff>
      <xdr:row>0</xdr:row>
      <xdr:rowOff>9313</xdr:rowOff>
    </xdr:from>
    <xdr:to>
      <xdr:col>2</xdr:col>
      <xdr:colOff>4735</xdr:colOff>
      <xdr:row>1</xdr:row>
      <xdr:rowOff>993350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13" y="8043"/>
          <a:ext cx="1520692" cy="1163107"/>
        </a:xfrm>
        <a:prstGeom prst="rect">
          <a:avLst/>
        </a:prstGeom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74084</xdr:colOff>
      <xdr:row>0</xdr:row>
      <xdr:rowOff>63500</xdr:rowOff>
    </xdr:from>
    <xdr:to>
      <xdr:col>1</xdr:col>
      <xdr:colOff>835316</xdr:colOff>
      <xdr:row>6</xdr:row>
      <xdr:rowOff>149224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4" y="66040"/>
          <a:ext cx="1523232" cy="1149984"/>
        </a:xfrm>
        <a:prstGeom prst="rect">
          <a:avLst/>
        </a:prstGeom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633963</xdr:colOff>
      <xdr:row>0</xdr:row>
      <xdr:rowOff>126498</xdr:rowOff>
    </xdr:from>
    <xdr:ext cx="7056932" cy="937629"/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SpPr/>
      </xdr:nvSpPr>
      <xdr:spPr>
        <a:xfrm>
          <a:off x="1449303" y="126498"/>
          <a:ext cx="7056932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50">
              <a:ln w="0"/>
              <a:solidFill>
                <a:sysClr val="windowText" lastClr="000000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MEMÓRIA DE CÁLCULO</a:t>
          </a:r>
        </a:p>
      </xdr:txBody>
    </xdr:sp>
    <xdr:clientData/>
  </xdr:oneCellAnchor>
  <xdr:twoCellAnchor>
    <xdr:from>
      <xdr:col>24</xdr:col>
      <xdr:colOff>504265</xdr:colOff>
      <xdr:row>32</xdr:row>
      <xdr:rowOff>123264</xdr:rowOff>
    </xdr:from>
    <xdr:to>
      <xdr:col>26</xdr:col>
      <xdr:colOff>112379</xdr:colOff>
      <xdr:row>32</xdr:row>
      <xdr:rowOff>128707</xdr:rowOff>
    </xdr:to>
    <xdr:cxnSp macro="">
      <xdr:nvCxnSpPr>
        <xdr:cNvPr id="3" name="Conector de seta reta 11">
          <a:extLst>
            <a:ext uri="{FF2B5EF4-FFF2-40B4-BE49-F238E27FC236}">
              <a16:creationId xmlns:a16="http://schemas.microsoft.com/office/drawing/2014/main" id="{00000000-0008-0000-2200-000003000000}"/>
            </a:ext>
          </a:extLst>
        </xdr:cNvPr>
        <xdr:cNvCxnSpPr/>
      </xdr:nvCxnSpPr>
      <xdr:spPr>
        <a:xfrm>
          <a:off x="11141785" y="6028764"/>
          <a:ext cx="362494" cy="544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593912</xdr:colOff>
      <xdr:row>29</xdr:row>
      <xdr:rowOff>112059</xdr:rowOff>
    </xdr:from>
    <xdr:to>
      <xdr:col>16</xdr:col>
      <xdr:colOff>280467</xdr:colOff>
      <xdr:row>29</xdr:row>
      <xdr:rowOff>117502</xdr:rowOff>
    </xdr:to>
    <xdr:cxnSp macro="">
      <xdr:nvCxnSpPr>
        <xdr:cNvPr id="4" name="Conector de seta reta 7">
          <a:extLst>
            <a:ext uri="{FF2B5EF4-FFF2-40B4-BE49-F238E27FC236}">
              <a16:creationId xmlns:a16="http://schemas.microsoft.com/office/drawing/2014/main" id="{00000000-0008-0000-2200-000004000000}"/>
            </a:ext>
          </a:extLst>
        </xdr:cNvPr>
        <xdr:cNvCxnSpPr/>
      </xdr:nvCxnSpPr>
      <xdr:spPr>
        <a:xfrm>
          <a:off x="7680512" y="5468919"/>
          <a:ext cx="425695" cy="544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504265</xdr:colOff>
      <xdr:row>29</xdr:row>
      <xdr:rowOff>123264</xdr:rowOff>
    </xdr:from>
    <xdr:to>
      <xdr:col>26</xdr:col>
      <xdr:colOff>112379</xdr:colOff>
      <xdr:row>29</xdr:row>
      <xdr:rowOff>128707</xdr:rowOff>
    </xdr:to>
    <xdr:cxnSp macro="">
      <xdr:nvCxnSpPr>
        <xdr:cNvPr id="5" name="Conector de seta reta 11">
          <a:extLst>
            <a:ext uri="{FF2B5EF4-FFF2-40B4-BE49-F238E27FC236}">
              <a16:creationId xmlns:a16="http://schemas.microsoft.com/office/drawing/2014/main" id="{00000000-0008-0000-2200-000005000000}"/>
            </a:ext>
          </a:extLst>
        </xdr:cNvPr>
        <xdr:cNvCxnSpPr/>
      </xdr:nvCxnSpPr>
      <xdr:spPr>
        <a:xfrm>
          <a:off x="11141785" y="5480124"/>
          <a:ext cx="362494" cy="544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560294</xdr:colOff>
      <xdr:row>31</xdr:row>
      <xdr:rowOff>112059</xdr:rowOff>
    </xdr:from>
    <xdr:to>
      <xdr:col>26</xdr:col>
      <xdr:colOff>168408</xdr:colOff>
      <xdr:row>31</xdr:row>
      <xdr:rowOff>117502</xdr:rowOff>
    </xdr:to>
    <xdr:cxnSp macro="">
      <xdr:nvCxnSpPr>
        <xdr:cNvPr id="6" name="Conector de seta reta 11">
          <a:extLst>
            <a:ext uri="{FF2B5EF4-FFF2-40B4-BE49-F238E27FC236}">
              <a16:creationId xmlns:a16="http://schemas.microsoft.com/office/drawing/2014/main" id="{00000000-0008-0000-2200-000006000000}"/>
            </a:ext>
          </a:extLst>
        </xdr:cNvPr>
        <xdr:cNvCxnSpPr/>
      </xdr:nvCxnSpPr>
      <xdr:spPr>
        <a:xfrm>
          <a:off x="11197814" y="5834679"/>
          <a:ext cx="362494" cy="544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560294</xdr:colOff>
      <xdr:row>33</xdr:row>
      <xdr:rowOff>112059</xdr:rowOff>
    </xdr:from>
    <xdr:to>
      <xdr:col>26</xdr:col>
      <xdr:colOff>168408</xdr:colOff>
      <xdr:row>33</xdr:row>
      <xdr:rowOff>117502</xdr:rowOff>
    </xdr:to>
    <xdr:cxnSp macro="">
      <xdr:nvCxnSpPr>
        <xdr:cNvPr id="7" name="Conector de seta reta 11">
          <a:extLst>
            <a:ext uri="{FF2B5EF4-FFF2-40B4-BE49-F238E27FC236}">
              <a16:creationId xmlns:a16="http://schemas.microsoft.com/office/drawing/2014/main" id="{00000000-0008-0000-2200-000007000000}"/>
            </a:ext>
          </a:extLst>
        </xdr:cNvPr>
        <xdr:cNvCxnSpPr/>
      </xdr:nvCxnSpPr>
      <xdr:spPr>
        <a:xfrm>
          <a:off x="11197814" y="6200439"/>
          <a:ext cx="362494" cy="544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324169</xdr:colOff>
      <xdr:row>1</xdr:row>
      <xdr:rowOff>62998</xdr:rowOff>
    </xdr:from>
    <xdr:ext cx="4028602" cy="718466"/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SpPr/>
      </xdr:nvSpPr>
      <xdr:spPr>
        <a:xfrm>
          <a:off x="324169" y="245878"/>
          <a:ext cx="4028602" cy="71846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4000" b="1" cap="none" spc="50">
              <a:ln w="0"/>
              <a:solidFill>
                <a:sysClr val="windowText" lastClr="000000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MEMÓRIA APOIO</a:t>
          </a:r>
        </a:p>
      </xdr:txBody>
    </xdr:sp>
    <xdr:clientData/>
  </xdr:oneCellAnchor>
  <xdr:twoCellAnchor>
    <xdr:from>
      <xdr:col>8</xdr:col>
      <xdr:colOff>15240</xdr:colOff>
      <xdr:row>27</xdr:row>
      <xdr:rowOff>137160</xdr:rowOff>
    </xdr:from>
    <xdr:to>
      <xdr:col>9</xdr:col>
      <xdr:colOff>205740</xdr:colOff>
      <xdr:row>33</xdr:row>
      <xdr:rowOff>144780</xdr:rowOff>
    </xdr:to>
    <xdr:sp macro="" textlink="">
      <xdr:nvSpPr>
        <xdr:cNvPr id="3" name="Triângulo Retângulo 2">
          <a:extLst>
            <a:ext uri="{FF2B5EF4-FFF2-40B4-BE49-F238E27FC236}">
              <a16:creationId xmlns:a16="http://schemas.microsoft.com/office/drawing/2014/main" id="{00000000-0008-0000-2300-000003000000}"/>
            </a:ext>
          </a:extLst>
        </xdr:cNvPr>
        <xdr:cNvSpPr/>
      </xdr:nvSpPr>
      <xdr:spPr>
        <a:xfrm>
          <a:off x="10812780" y="5516880"/>
          <a:ext cx="1584960" cy="1104900"/>
        </a:xfrm>
        <a:prstGeom prst="rt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689429</xdr:colOff>
      <xdr:row>26</xdr:row>
      <xdr:rowOff>81644</xdr:rowOff>
    </xdr:from>
    <xdr:to>
      <xdr:col>7</xdr:col>
      <xdr:colOff>422125</xdr:colOff>
      <xdr:row>27</xdr:row>
      <xdr:rowOff>2778283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2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9429" y="9080501"/>
          <a:ext cx="9774767" cy="2862828"/>
        </a:xfrm>
        <a:prstGeom prst="rect">
          <a:avLst/>
        </a:prstGeom>
      </xdr:spPr>
    </xdr:pic>
    <xdr:clientData/>
  </xdr:twoCellAnchor>
  <xdr:twoCellAnchor editAs="oneCell">
    <xdr:from>
      <xdr:col>0</xdr:col>
      <xdr:colOff>136071</xdr:colOff>
      <xdr:row>1</xdr:row>
      <xdr:rowOff>639536</xdr:rowOff>
    </xdr:from>
    <xdr:to>
      <xdr:col>3</xdr:col>
      <xdr:colOff>9615</xdr:colOff>
      <xdr:row>2</xdr:row>
      <xdr:rowOff>132352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24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71" y="1020536"/>
          <a:ext cx="2322830" cy="499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1</xdr:row>
      <xdr:rowOff>687917</xdr:rowOff>
    </xdr:from>
    <xdr:to>
      <xdr:col>1</xdr:col>
      <xdr:colOff>968163</xdr:colOff>
      <xdr:row>1</xdr:row>
      <xdr:rowOff>1187662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25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78417"/>
          <a:ext cx="2322830" cy="499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</xdr:row>
      <xdr:rowOff>57150</xdr:rowOff>
    </xdr:from>
    <xdr:to>
      <xdr:col>1</xdr:col>
      <xdr:colOff>1551305</xdr:colOff>
      <xdr:row>5</xdr:row>
      <xdr:rowOff>13970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26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19100"/>
          <a:ext cx="2322830" cy="499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304800</xdr:colOff>
      <xdr:row>5</xdr:row>
      <xdr:rowOff>148862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905250" y="733425"/>
          <a:ext cx="304800" cy="3298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661147</xdr:colOff>
      <xdr:row>4</xdr:row>
      <xdr:rowOff>0</xdr:rowOff>
    </xdr:from>
    <xdr:to>
      <xdr:col>6</xdr:col>
      <xdr:colOff>301438</xdr:colOff>
      <xdr:row>5</xdr:row>
      <xdr:rowOff>149636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27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6490447" y="733425"/>
          <a:ext cx="326091" cy="3293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95250</xdr:colOff>
      <xdr:row>1</xdr:row>
      <xdr:rowOff>133350</xdr:rowOff>
    </xdr:from>
    <xdr:to>
      <xdr:col>1</xdr:col>
      <xdr:colOff>998855</xdr:colOff>
      <xdr:row>4</xdr:row>
      <xdr:rowOff>90170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27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3850"/>
          <a:ext cx="2322830" cy="499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1</xdr:row>
      <xdr:rowOff>583406</xdr:rowOff>
    </xdr:from>
    <xdr:to>
      <xdr:col>3</xdr:col>
      <xdr:colOff>13017</xdr:colOff>
      <xdr:row>1</xdr:row>
      <xdr:rowOff>1083151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773906"/>
          <a:ext cx="2322830" cy="499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95249</xdr:rowOff>
    </xdr:from>
    <xdr:to>
      <xdr:col>1</xdr:col>
      <xdr:colOff>841665</xdr:colOff>
      <xdr:row>7</xdr:row>
      <xdr:rowOff>1056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95249"/>
          <a:ext cx="1532122" cy="116014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66041</xdr:rowOff>
    </xdr:from>
    <xdr:to>
      <xdr:col>2</xdr:col>
      <xdr:colOff>3042</xdr:colOff>
      <xdr:row>2</xdr:row>
      <xdr:rowOff>35348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041"/>
          <a:ext cx="1528312" cy="11652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107103</xdr:rowOff>
    </xdr:from>
    <xdr:to>
      <xdr:col>1</xdr:col>
      <xdr:colOff>828542</xdr:colOff>
      <xdr:row>7</xdr:row>
      <xdr:rowOff>9100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07103"/>
          <a:ext cx="1527042" cy="116141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23706</xdr:colOff>
      <xdr:row>0</xdr:row>
      <xdr:rowOff>46567</xdr:rowOff>
    </xdr:from>
    <xdr:to>
      <xdr:col>2</xdr:col>
      <xdr:colOff>14048</xdr:colOff>
      <xdr:row>2</xdr:row>
      <xdr:rowOff>8254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06" y="46567"/>
          <a:ext cx="1516882" cy="115887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105833</xdr:rowOff>
    </xdr:from>
    <xdr:to>
      <xdr:col>1</xdr:col>
      <xdr:colOff>789172</xdr:colOff>
      <xdr:row>7</xdr:row>
      <xdr:rowOff>2750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105833"/>
          <a:ext cx="1511802" cy="115760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SM1\SharedDocs\edgar\IMPORTANTE\LICIT\NOLASCO\NOLASC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dgar\IMPORTANTE\LICIT\NOLASCO\NOLAS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dgar/IMPORTANTE/LICIT/NOLASCO/NOLASC~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32.27\P&#250;blica\Documents%20and%20Settings\tarcisio.junior\Meus%20documentos\Tarc&#237;sio%20Jr\Processos%20em%20an&#225;lise\2009\Gilbu&#233;s%20706898-2009%20Estrada_Vicinal\An&#225;lise%20de%20Custos%20-%20Gilbu&#233;s%2016_11_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ITORIA%20DO%20MEARIM/pontes/OR&#199;AMENTO%20PRA&#199;A%20DA%20BIBL&#205;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de\OneDrive\CODEVASF\1.%20ICATU\2.%20Estrada%20Vicinal%20Codevasf\R$%201.400.000,00\rev.03\OR&#199;AMENTO%20VICINAL%20icatu.rev0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13134c6f7139006/PREFEITURAS/PRIMEIRA%20CRUZ/3.%20PONTES%20DE%20MADEIRA/MODELO%20PONTE%20DE%20MADEIRA%20OR&#199;AM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O Comparativa"/>
      <sheetName val="CPU ATRIUM"/>
      <sheetName val="DMT"/>
    </sheetNames>
    <sheetDataSet>
      <sheetData sheetId="0"/>
      <sheetData sheetId="1"/>
      <sheetData sheetId="2">
        <row r="1">
          <cell r="C1" t="str">
            <v>MINISTÉRIO DA INTEGRAÇÃO NACIONAL - MI</v>
          </cell>
        </row>
        <row r="14">
          <cell r="D14" t="str">
            <v>SINAPI</v>
          </cell>
        </row>
        <row r="15">
          <cell r="D15" t="str">
            <v>A.234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RESUMO META 1"/>
      <sheetName val="RESUMO META 2"/>
      <sheetName val="PLANILHA ORÇAMENTÁRIA"/>
      <sheetName val="Gráf2"/>
      <sheetName val="Gráf1"/>
      <sheetName val="CURVA ABC"/>
      <sheetName val="MEMORIA DE CALCULO"/>
      <sheetName val="Planilha1"/>
      <sheetName val="QCI "/>
      <sheetName val="COMPOSIÇÃO"/>
      <sheetName val="CRONOGRAMA"/>
      <sheetName val=" BDI"/>
      <sheetName val="ENCARGOS SOCIAIS"/>
      <sheetName val="BDI"/>
    </sheetNames>
    <sheetDataSet>
      <sheetData sheetId="0"/>
      <sheetData sheetId="1"/>
      <sheetData sheetId="2"/>
      <sheetData sheetId="3">
        <row r="19">
          <cell r="D19" t="str">
            <v>MOBILIZAÇÃO</v>
          </cell>
        </row>
      </sheetData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"/>
      <sheetName val="RESUMO GERAL"/>
      <sheetName val="RESUMO - META 01"/>
      <sheetName val="COMPOSIÇÃO DO PROJ. EXECUTIVO"/>
      <sheetName val="RESUMO - META 02"/>
      <sheetName val="COMPOSIÇÃO DE PREÇO UNITÁRIO"/>
      <sheetName val="ORÇAMENTO GERAL"/>
      <sheetName val="MEMÓRIA DE CÁLCULO"/>
      <sheetName val="CÁLCULO DMT"/>
      <sheetName val="Orçamento - trecho 1"/>
      <sheetName val="Memória de Cálculo - trecho 1"/>
      <sheetName val="DMT - trecho 1"/>
      <sheetName val="Orçamento - trecho 2"/>
      <sheetName val="Memória de Cálculo - trecho 2"/>
      <sheetName val="DMT - trecho 2"/>
      <sheetName val="PLANILHA SINTÉTICA"/>
      <sheetName val="CRONOGRAMA"/>
      <sheetName val="QUADRO DE DESEMBOLSO"/>
      <sheetName val="CURVA ABC"/>
      <sheetName val="COMP. DESMONTE SUPERESTRUTURA"/>
      <sheetName val="COMP. RECUPERAÇÃO GUARDA-CORPO"/>
      <sheetName val="COMP. RECUP. TABULEIRO"/>
      <sheetName val="CURVA A B C"/>
      <sheetName val="ENCARGOS SOCIAIS"/>
      <sheetName val="B D I"/>
    </sheetNames>
    <sheetDataSet>
      <sheetData sheetId="0"/>
      <sheetData sheetId="1">
        <row r="2">
          <cell r="A2" t="str">
            <v>OBJETO:</v>
          </cell>
          <cell r="B2" t="str">
            <v>Recuperação de Estradas Vicinais no Município de Icatu/MA</v>
          </cell>
        </row>
        <row r="3">
          <cell r="A3" t="str">
            <v>LOCAL:</v>
          </cell>
          <cell r="B3" t="str">
            <v>Icatu - MA</v>
          </cell>
        </row>
        <row r="4">
          <cell r="A4" t="str">
            <v>PROPONENTE:</v>
          </cell>
          <cell r="B4" t="str">
            <v>Prefeitura Municipal de Icatu-MA</v>
          </cell>
        </row>
        <row r="5">
          <cell r="A5" t="str">
            <v>DATA REF.:</v>
          </cell>
          <cell r="B5" t="str">
            <v>SINAPI 01/2022 E DNIT SICRO 3 10/2021</v>
          </cell>
        </row>
        <row r="6">
          <cell r="A6" t="str">
            <v>ENCARGOS SOCIAIS:</v>
          </cell>
          <cell r="B6" t="str">
            <v>112,90 % e 70,87% - não desonerado</v>
          </cell>
        </row>
        <row r="7">
          <cell r="A7" t="str">
            <v>BDI:</v>
          </cell>
          <cell r="B7">
            <v>0.24229999999999999</v>
          </cell>
        </row>
        <row r="67">
          <cell r="A67">
            <v>44669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A68" t="str">
            <v>ICATU - MA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</sheetData>
      <sheetData sheetId="2"/>
      <sheetData sheetId="3"/>
      <sheetData sheetId="4"/>
      <sheetData sheetId="5"/>
      <sheetData sheetId="6">
        <row r="15">
          <cell r="J15">
            <v>40776.699999999997</v>
          </cell>
        </row>
        <row r="19">
          <cell r="M19">
            <v>6.0004268614288758E-2</v>
          </cell>
        </row>
        <row r="50">
          <cell r="J50">
            <v>1399999.9999999998</v>
          </cell>
        </row>
      </sheetData>
      <sheetData sheetId="7">
        <row r="25">
          <cell r="C25" t="str">
            <v>Elaboração de Projeto Executivo</v>
          </cell>
        </row>
        <row r="28">
          <cell r="C28" t="str">
            <v>Placa de obra em aço galvanizado, com dimensões 5,00 x 2,50 m</v>
          </cell>
        </row>
        <row r="29">
          <cell r="C29" t="str">
            <v>Administração Local da Obra</v>
          </cell>
        </row>
        <row r="30">
          <cell r="C30" t="str">
            <v>Barracão de Obra</v>
          </cell>
        </row>
        <row r="31">
          <cell r="C31" t="str">
            <v>Mobilização e desmobilização de equipamentos</v>
          </cell>
        </row>
        <row r="56">
          <cell r="C56" t="str">
            <v>Reparação de danos físicos ao meio ambiente.</v>
          </cell>
        </row>
      </sheetData>
      <sheetData sheetId="8"/>
      <sheetData sheetId="9"/>
      <sheetData sheetId="10">
        <row r="10">
          <cell r="P10">
            <v>9259</v>
          </cell>
        </row>
      </sheetData>
      <sheetData sheetId="11"/>
      <sheetData sheetId="12"/>
      <sheetData sheetId="13">
        <row r="10">
          <cell r="P10">
            <v>10951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"/>
      <sheetName val="PLANILHA DE CUBAÇÃO"/>
      <sheetName val="ORÇAMENTO RIO COCAL"/>
      <sheetName val="MC - RIO COCAL"/>
      <sheetName val="MEMÓRIA APOIO -RIO COCAL"/>
      <sheetName val="ORÇAMENTO PONTE SAGRADOR"/>
      <sheetName val="MC - PONTE SAGRADOR"/>
      <sheetName val="MEMÓRIA APOIO - PONTE SAGRADOR"/>
      <sheetName val="ORÇAMENTO PONTE DO SIVIRINO"/>
      <sheetName val="MC - PONTE DO SIVIRINO"/>
      <sheetName val="MEMÓRIA APOIO - PONTE DO SIVIRI"/>
      <sheetName val="ORÇAMENTO PONTE DO S JOÃO"/>
      <sheetName val="MC - PONTE DO S JOAO"/>
      <sheetName val="MEMÓRIA APOIO - PONTE DO S JOAO"/>
      <sheetName val="ORÇAMENTO PONTE DO S ANTONIO"/>
      <sheetName val="MC - PONTE DO S ANTONIO"/>
      <sheetName val="MEMÓRIA APOIO - PONTE DO S ANTO"/>
      <sheetName val="ORÇAMENTO PONTE MAIRIZINHO"/>
      <sheetName val="MC - PONTE MAIRIZINHO"/>
      <sheetName val="MEMÓRIA APOIO - PONTE MAIRIZINH"/>
      <sheetName val="ORÇAMENTO PONTE APARECIDA"/>
      <sheetName val="MC - PONTE APARECIDA"/>
      <sheetName val="MEMÓRIA APOIO - PONTE APARECIDA"/>
      <sheetName val="ORÇAMENTO PONTE AREINHA"/>
      <sheetName val="MC - PONTE AREINHA"/>
      <sheetName val="MEMÓRIA APOIO - PONTE AREINHA"/>
      <sheetName val="ORÇAMENTO PONTE MACHADO 1"/>
      <sheetName val="MC - PONTE MACHADO 1"/>
      <sheetName val="MEMÓRIA APOIO - PONTE MACHADO 1"/>
      <sheetName val="ORÇAMENTO PONTE MACHADO 2"/>
      <sheetName val="MC - PONTE MACHADO 2"/>
      <sheetName val="MEMÓRIA APOIO - PONTE MACHA 2"/>
      <sheetName val="ORÇAMENTO PONTE MACHADO 3"/>
      <sheetName val="MC - PONTE MACHADO 3"/>
      <sheetName val="MEMÓRIA APOIO - PONTE MACHA 3"/>
      <sheetName val="COMPOSIÇÃO DE PREÇO UNITÁRIO"/>
      <sheetName val="CÁLCULO DMT"/>
      <sheetName val="PLANILHA SINTÉTICA"/>
      <sheetName val="CRONOGRAMA"/>
      <sheetName val="QUADRO DE DESEMBOLSO"/>
      <sheetName val="COMP. DESMONTE SUPERESTRUTURA"/>
      <sheetName val="COMP. RECUPERAÇÃO GUARDA-CORPO"/>
      <sheetName val="COMP. RECUP. TABULEIRO"/>
      <sheetName val="CURVA A B C"/>
      <sheetName val="ENCARGOS SOCIAIS"/>
      <sheetName val="B D I"/>
      <sheetName val="RESUMO CUB"/>
    </sheetNames>
    <sheetDataSet>
      <sheetData sheetId="0">
        <row r="38">
          <cell r="A38">
            <v>44946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7">
          <cell r="A7" t="str">
            <v>Objeto: CONSTRUÇÃO DE PONTE DE MADEIRA NO MUNICÍPIO DE PRIMEIRA CRUZ-MA</v>
          </cell>
        </row>
        <row r="8">
          <cell r="A8" t="str">
            <v>Localidade: Ponte APARECIDA</v>
          </cell>
          <cell r="I8" t="str">
            <v>BDI: 24,23%</v>
          </cell>
        </row>
        <row r="9">
          <cell r="A9" t="str">
            <v>Proponente: PREFEITURA MUNICIPAL DE PRIMEIRA CRUZ/MA</v>
          </cell>
          <cell r="I9" t="str">
            <v xml:space="preserve">Encargos Sociais: 113,85% e 71,98% </v>
          </cell>
        </row>
        <row r="10">
          <cell r="A10" t="str">
            <v xml:space="preserve">Data Ref.: </v>
          </cell>
        </row>
        <row r="20">
          <cell r="B20" t="str">
            <v>Transporte local de madeira</v>
          </cell>
        </row>
        <row r="25">
          <cell r="B25" t="str">
            <v>Compactação manual</v>
          </cell>
        </row>
        <row r="26">
          <cell r="B26" t="str">
            <v>INFRAESTRUTURA</v>
          </cell>
        </row>
        <row r="27">
          <cell r="B27" t="str">
            <v>Confecção e instalação de estacas de madeira</v>
          </cell>
        </row>
        <row r="28">
          <cell r="B28" t="str">
            <v>Confecção e instalação de linhas d'água de madeira</v>
          </cell>
        </row>
        <row r="29">
          <cell r="B29" t="str">
            <v>MESOESTRUTURA</v>
          </cell>
        </row>
        <row r="30">
          <cell r="B30" t="str">
            <v>Confecção e instalação dos pilares de madeira</v>
          </cell>
        </row>
        <row r="31">
          <cell r="B31" t="str">
            <v>Confecção e instalação de contraventamentos de madeira</v>
          </cell>
        </row>
        <row r="32">
          <cell r="B32" t="str">
            <v>Confecção e instalação de transversinas de madeira</v>
          </cell>
        </row>
        <row r="33">
          <cell r="B33" t="str">
            <v>Confecção e instalação de balancim de madeira</v>
          </cell>
        </row>
        <row r="34">
          <cell r="B34" t="str">
            <v>SUPERESTRUTURA</v>
          </cell>
        </row>
        <row r="35">
          <cell r="B35" t="str">
            <v>Confecção e instalação de longarinas de madeira</v>
          </cell>
        </row>
        <row r="36">
          <cell r="B36" t="str">
            <v>Confecção e instalação de rodapé de madeira (GUARDA-CORPO)</v>
          </cell>
        </row>
        <row r="37">
          <cell r="B37" t="str">
            <v>Confecção e instalação de corrimão de madeira (GUARDA-CORPO)</v>
          </cell>
        </row>
        <row r="38">
          <cell r="B38" t="str">
            <v>Confecção e instalação de pontaletes menores de madeira (GUARDA-CORPO)</v>
          </cell>
        </row>
        <row r="39">
          <cell r="B39" t="str">
            <v>Confecção e instalação de pontaletes maiores de madeira (GUARDA-CORPO)</v>
          </cell>
        </row>
        <row r="40">
          <cell r="B40" t="str">
            <v>Confecção e instalação de pranchão de madeira</v>
          </cell>
        </row>
        <row r="49">
          <cell r="J49">
            <v>493241.72</v>
          </cell>
          <cell r="K49" t="str">
            <v>1.289.469,35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6.bin"/><Relationship Id="rId4" Type="http://schemas.openxmlformats.org/officeDocument/2006/relationships/comments" Target="../comments1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8"/>
  <sheetViews>
    <sheetView showOutlineSymbols="0" showWhiteSpace="0" view="pageBreakPreview" zoomScale="80" zoomScaleNormal="100" zoomScaleSheetLayoutView="80" workbookViewId="0">
      <selection activeCell="A25" sqref="A25:J25"/>
    </sheetView>
  </sheetViews>
  <sheetFormatPr defaultColWidth="8.88671875" defaultRowHeight="13.8"/>
  <cols>
    <col min="1" max="2" width="11.109375" style="110" bestFit="1" customWidth="1"/>
    <col min="3" max="3" width="8.88671875" style="110"/>
    <col min="4" max="4" width="66.6640625" style="110" bestFit="1" customWidth="1"/>
    <col min="5" max="5" width="33.33203125" style="110" bestFit="1" customWidth="1"/>
    <col min="6" max="6" width="5.5546875" style="110" bestFit="1" customWidth="1"/>
    <col min="7" max="7" width="18.109375" style="110" bestFit="1" customWidth="1"/>
    <col min="8" max="9" width="11.109375" style="110" bestFit="1" customWidth="1"/>
    <col min="10" max="10" width="24.44140625" style="110" bestFit="1" customWidth="1"/>
    <col min="11" max="11" width="9.6640625" style="110" bestFit="1" customWidth="1"/>
    <col min="12" max="12" width="18.5546875" style="110" bestFit="1" customWidth="1"/>
    <col min="13" max="13" width="17.44140625" style="110" bestFit="1" customWidth="1"/>
    <col min="14" max="14" width="18.44140625" style="110" bestFit="1" customWidth="1"/>
    <col min="15" max="17" width="17.44140625" style="110" bestFit="1" customWidth="1"/>
    <col min="18" max="18" width="18.5546875" style="110" bestFit="1" customWidth="1"/>
    <col min="19" max="19" width="8.88671875" style="110"/>
    <col min="20" max="20" width="17.44140625" style="110" bestFit="1" customWidth="1"/>
    <col min="21" max="16384" width="8.88671875" style="110"/>
  </cols>
  <sheetData>
    <row r="1" spans="1:13" ht="15.6">
      <c r="A1" s="210"/>
      <c r="B1" s="210"/>
      <c r="C1" s="329" t="s">
        <v>348</v>
      </c>
      <c r="D1" s="329"/>
      <c r="E1" s="329" t="s">
        <v>424</v>
      </c>
      <c r="F1" s="478" t="s">
        <v>425</v>
      </c>
      <c r="G1" s="478"/>
      <c r="H1" s="478"/>
      <c r="I1" s="478" t="s">
        <v>349</v>
      </c>
      <c r="J1" s="478"/>
    </row>
    <row r="2" spans="1:13" ht="79.2" customHeight="1">
      <c r="A2" s="273"/>
      <c r="B2" s="211"/>
      <c r="C2" s="478" t="s">
        <v>1102</v>
      </c>
      <c r="D2" s="478"/>
      <c r="E2" s="329" t="s">
        <v>1093</v>
      </c>
      <c r="F2" s="479">
        <v>0.24229999999999999</v>
      </c>
      <c r="G2" s="478"/>
      <c r="H2" s="478"/>
      <c r="I2" s="478" t="s">
        <v>427</v>
      </c>
      <c r="J2" s="478"/>
    </row>
    <row r="3" spans="1:13" ht="22.2" customHeight="1">
      <c r="A3" s="480" t="s">
        <v>1103</v>
      </c>
      <c r="B3" s="481"/>
      <c r="C3" s="481"/>
      <c r="D3" s="481"/>
      <c r="E3" s="481"/>
      <c r="F3" s="481"/>
      <c r="G3" s="481"/>
      <c r="H3" s="481"/>
      <c r="I3" s="481"/>
      <c r="J3" s="481"/>
    </row>
    <row r="4" spans="1:13" ht="22.2" customHeight="1">
      <c r="A4" s="482" t="s">
        <v>428</v>
      </c>
      <c r="B4" s="482"/>
      <c r="C4" s="482"/>
      <c r="D4" s="483" t="s">
        <v>74</v>
      </c>
      <c r="E4" s="483"/>
      <c r="F4" s="483"/>
      <c r="G4" s="483"/>
      <c r="H4" s="483"/>
      <c r="I4" s="483"/>
      <c r="J4" s="360" t="s">
        <v>71</v>
      </c>
    </row>
    <row r="5" spans="1:13" ht="15.6">
      <c r="A5" s="471">
        <v>1</v>
      </c>
      <c r="B5" s="471"/>
      <c r="C5" s="471"/>
      <c r="D5" s="472" t="s">
        <v>430</v>
      </c>
      <c r="E5" s="472"/>
      <c r="F5" s="472"/>
      <c r="G5" s="472"/>
      <c r="H5" s="472"/>
      <c r="I5" s="472"/>
      <c r="J5" s="361">
        <f>'Serviços Preliminares'!I5</f>
        <v>220232.01</v>
      </c>
      <c r="K5" s="300">
        <f>J5/$J$21</f>
        <v>3.6603892436656744E-2</v>
      </c>
    </row>
    <row r="6" spans="1:13" ht="15.6">
      <c r="A6" s="471">
        <v>2</v>
      </c>
      <c r="B6" s="471"/>
      <c r="C6" s="471"/>
      <c r="D6" s="472" t="s">
        <v>1104</v>
      </c>
      <c r="E6" s="472"/>
      <c r="F6" s="472"/>
      <c r="G6" s="472"/>
      <c r="H6" s="472"/>
      <c r="I6" s="472"/>
      <c r="J6" s="361">
        <f>'Orçamento Ata Pontes'!I5</f>
        <v>4441233.6100000003</v>
      </c>
      <c r="K6" s="300">
        <f t="shared" ref="K6:K15" si="0">J6/$J$21</f>
        <v>0.73815989486044631</v>
      </c>
    </row>
    <row r="7" spans="1:13" ht="15.6">
      <c r="A7" s="471">
        <v>3</v>
      </c>
      <c r="B7" s="471"/>
      <c r="C7" s="471"/>
      <c r="D7" s="472" t="s">
        <v>880</v>
      </c>
      <c r="E7" s="472"/>
      <c r="F7" s="472"/>
      <c r="G7" s="472"/>
      <c r="H7" s="472"/>
      <c r="I7" s="472"/>
      <c r="J7" s="361">
        <f>'Orçamento Ata Pontes'!I33</f>
        <v>1355162.54</v>
      </c>
      <c r="K7" s="300">
        <f t="shared" si="0"/>
        <v>0.22523621270289704</v>
      </c>
    </row>
    <row r="8" spans="1:13" ht="15.6" hidden="1">
      <c r="A8" s="471">
        <v>4</v>
      </c>
      <c r="B8" s="471"/>
      <c r="C8" s="471"/>
      <c r="D8" s="472" t="s">
        <v>827</v>
      </c>
      <c r="E8" s="472"/>
      <c r="F8" s="472"/>
      <c r="G8" s="472"/>
      <c r="H8" s="472"/>
      <c r="I8" s="472"/>
      <c r="J8" s="361"/>
      <c r="K8" s="300">
        <f t="shared" si="0"/>
        <v>0</v>
      </c>
    </row>
    <row r="9" spans="1:13" ht="15.6" hidden="1">
      <c r="A9" s="484">
        <v>5</v>
      </c>
      <c r="B9" s="485"/>
      <c r="C9" s="486"/>
      <c r="D9" s="472" t="s">
        <v>828</v>
      </c>
      <c r="E9" s="472"/>
      <c r="F9" s="472"/>
      <c r="G9" s="472"/>
      <c r="H9" s="472"/>
      <c r="I9" s="472"/>
      <c r="J9" s="361"/>
      <c r="K9" s="300">
        <f t="shared" si="0"/>
        <v>0</v>
      </c>
    </row>
    <row r="10" spans="1:13" ht="15.6" hidden="1" customHeight="1">
      <c r="A10" s="471">
        <v>6</v>
      </c>
      <c r="B10" s="471"/>
      <c r="C10" s="471"/>
      <c r="D10" s="472" t="s">
        <v>524</v>
      </c>
      <c r="E10" s="472"/>
      <c r="F10" s="472"/>
      <c r="G10" s="472"/>
      <c r="H10" s="472"/>
      <c r="I10" s="472"/>
      <c r="J10" s="361"/>
      <c r="K10" s="300">
        <f t="shared" si="0"/>
        <v>0</v>
      </c>
    </row>
    <row r="11" spans="1:13" ht="15.6" hidden="1">
      <c r="A11" s="471">
        <v>7</v>
      </c>
      <c r="B11" s="471"/>
      <c r="C11" s="471"/>
      <c r="D11" s="472" t="s">
        <v>829</v>
      </c>
      <c r="E11" s="472"/>
      <c r="F11" s="472"/>
      <c r="G11" s="472"/>
      <c r="H11" s="472"/>
      <c r="I11" s="472"/>
      <c r="J11" s="361"/>
      <c r="K11" s="300">
        <f t="shared" si="0"/>
        <v>0</v>
      </c>
      <c r="M11" s="322"/>
    </row>
    <row r="12" spans="1:13" ht="15.6" hidden="1">
      <c r="A12" s="471">
        <v>8</v>
      </c>
      <c r="B12" s="471"/>
      <c r="C12" s="471"/>
      <c r="D12" s="472" t="s">
        <v>830</v>
      </c>
      <c r="E12" s="472"/>
      <c r="F12" s="472"/>
      <c r="G12" s="472"/>
      <c r="H12" s="472"/>
      <c r="I12" s="472"/>
      <c r="J12" s="361"/>
      <c r="K12" s="300">
        <f t="shared" si="0"/>
        <v>0</v>
      </c>
    </row>
    <row r="13" spans="1:13" ht="15.6" hidden="1">
      <c r="A13" s="471">
        <v>9</v>
      </c>
      <c r="B13" s="471"/>
      <c r="C13" s="471"/>
      <c r="D13" s="472" t="s">
        <v>831</v>
      </c>
      <c r="E13" s="472"/>
      <c r="F13" s="472"/>
      <c r="G13" s="472"/>
      <c r="H13" s="472"/>
      <c r="I13" s="472"/>
      <c r="J13" s="361"/>
      <c r="K13" s="300">
        <f t="shared" si="0"/>
        <v>0</v>
      </c>
    </row>
    <row r="14" spans="1:13" ht="15.6" hidden="1">
      <c r="A14" s="471">
        <v>10</v>
      </c>
      <c r="B14" s="471"/>
      <c r="C14" s="471"/>
      <c r="D14" s="472" t="s">
        <v>832</v>
      </c>
      <c r="E14" s="472"/>
      <c r="F14" s="472"/>
      <c r="G14" s="472"/>
      <c r="H14" s="472"/>
      <c r="I14" s="472"/>
      <c r="J14" s="361"/>
      <c r="K14" s="300">
        <f t="shared" si="0"/>
        <v>0</v>
      </c>
      <c r="M14" s="353"/>
    </row>
    <row r="15" spans="1:13" ht="15.6" hidden="1">
      <c r="A15" s="471">
        <v>11</v>
      </c>
      <c r="B15" s="471"/>
      <c r="C15" s="471"/>
      <c r="D15" s="472" t="s">
        <v>833</v>
      </c>
      <c r="E15" s="472"/>
      <c r="F15" s="472"/>
      <c r="G15" s="472"/>
      <c r="H15" s="472"/>
      <c r="I15" s="472"/>
      <c r="J15" s="361"/>
      <c r="K15" s="300">
        <f t="shared" si="0"/>
        <v>0</v>
      </c>
    </row>
    <row r="16" spans="1:13" ht="15.6" hidden="1">
      <c r="A16" s="471">
        <v>12</v>
      </c>
      <c r="B16" s="471"/>
      <c r="C16" s="471"/>
      <c r="D16" s="472" t="s">
        <v>859</v>
      </c>
      <c r="E16" s="472"/>
      <c r="F16" s="472"/>
      <c r="G16" s="472"/>
      <c r="H16" s="472"/>
      <c r="I16" s="472"/>
      <c r="J16" s="361"/>
      <c r="K16" s="300">
        <f t="shared" ref="K16:K19" si="1">J16/$J$21</f>
        <v>0</v>
      </c>
    </row>
    <row r="17" spans="1:20" ht="15.6" hidden="1">
      <c r="A17" s="471">
        <v>13</v>
      </c>
      <c r="B17" s="471"/>
      <c r="C17" s="471"/>
      <c r="D17" s="472" t="s">
        <v>865</v>
      </c>
      <c r="E17" s="472"/>
      <c r="F17" s="472"/>
      <c r="G17" s="472"/>
      <c r="H17" s="472"/>
      <c r="I17" s="472"/>
      <c r="J17" s="361"/>
      <c r="K17" s="300">
        <f t="shared" si="1"/>
        <v>0</v>
      </c>
    </row>
    <row r="18" spans="1:20" ht="15.6" hidden="1">
      <c r="A18" s="471">
        <v>14</v>
      </c>
      <c r="B18" s="471"/>
      <c r="C18" s="471"/>
      <c r="D18" s="472" t="s">
        <v>872</v>
      </c>
      <c r="E18" s="472"/>
      <c r="F18" s="472"/>
      <c r="G18" s="472"/>
      <c r="H18" s="472"/>
      <c r="I18" s="472"/>
      <c r="J18" s="361"/>
      <c r="K18" s="300">
        <f t="shared" si="1"/>
        <v>0</v>
      </c>
    </row>
    <row r="19" spans="1:20" ht="15.6" hidden="1">
      <c r="A19" s="471">
        <v>15</v>
      </c>
      <c r="B19" s="471"/>
      <c r="C19" s="471"/>
      <c r="D19" s="472" t="s">
        <v>878</v>
      </c>
      <c r="E19" s="472"/>
      <c r="F19" s="472"/>
      <c r="G19" s="472"/>
      <c r="H19" s="472"/>
      <c r="I19" s="472"/>
      <c r="J19" s="361"/>
      <c r="K19" s="300">
        <f t="shared" si="1"/>
        <v>0</v>
      </c>
    </row>
    <row r="20" spans="1:20" ht="15">
      <c r="A20" s="354"/>
      <c r="B20" s="354"/>
      <c r="C20" s="354"/>
      <c r="D20" s="354"/>
      <c r="E20" s="354"/>
      <c r="F20" s="354"/>
      <c r="G20" s="354"/>
      <c r="H20" s="354"/>
      <c r="I20" s="354"/>
      <c r="J20" s="354"/>
      <c r="M20" s="326"/>
      <c r="N20" s="326"/>
      <c r="O20" s="327"/>
    </row>
    <row r="21" spans="1:20" ht="27.6" customHeight="1">
      <c r="A21" s="473"/>
      <c r="B21" s="473"/>
      <c r="C21" s="473"/>
      <c r="D21" s="355"/>
      <c r="E21" s="356"/>
      <c r="F21" s="356"/>
      <c r="G21" s="357" t="s">
        <v>534</v>
      </c>
      <c r="H21" s="358"/>
      <c r="I21" s="359"/>
      <c r="J21" s="362">
        <f>SUM(J5:J19)</f>
        <v>6016628.1600000001</v>
      </c>
      <c r="L21" s="321"/>
      <c r="M21" s="322"/>
      <c r="N21" s="322"/>
      <c r="O21" s="328"/>
      <c r="P21" s="322"/>
      <c r="R21" s="322"/>
    </row>
    <row r="22" spans="1:20" ht="25.95" customHeight="1">
      <c r="A22" s="474" t="s">
        <v>1081</v>
      </c>
      <c r="B22" s="475"/>
      <c r="C22" s="475"/>
      <c r="D22" s="475"/>
      <c r="E22" s="475"/>
      <c r="F22" s="475"/>
      <c r="G22" s="475"/>
      <c r="H22" s="475"/>
      <c r="I22" s="475"/>
      <c r="J22" s="475"/>
      <c r="L22" s="321"/>
    </row>
    <row r="23" spans="1:20" ht="37.200000000000003" customHeight="1">
      <c r="A23" s="469"/>
      <c r="B23" s="470"/>
      <c r="C23" s="470"/>
      <c r="D23" s="470"/>
      <c r="E23" s="470"/>
      <c r="F23" s="470"/>
      <c r="G23" s="470"/>
      <c r="H23" s="470"/>
      <c r="I23" s="470"/>
      <c r="J23" s="470"/>
      <c r="L23" s="322"/>
      <c r="R23" s="322"/>
      <c r="S23" s="300"/>
      <c r="T23" s="327"/>
    </row>
    <row r="24" spans="1:20" ht="25.2" customHeight="1">
      <c r="A24" s="476"/>
      <c r="B24" s="477"/>
      <c r="C24" s="477"/>
      <c r="D24" s="477"/>
      <c r="E24" s="477"/>
      <c r="F24" s="477"/>
      <c r="G24" s="477"/>
      <c r="H24" s="477"/>
      <c r="I24" s="477"/>
      <c r="J24" s="477"/>
      <c r="L24" s="322"/>
      <c r="R24" s="322"/>
      <c r="S24" s="300"/>
      <c r="T24" s="327"/>
    </row>
    <row r="25" spans="1:20" ht="47.4" customHeight="1">
      <c r="A25" s="469"/>
      <c r="B25" s="470"/>
      <c r="C25" s="470"/>
      <c r="D25" s="470"/>
      <c r="E25" s="470"/>
      <c r="F25" s="470"/>
      <c r="G25" s="470"/>
      <c r="H25" s="470"/>
      <c r="I25" s="470"/>
      <c r="J25" s="470"/>
      <c r="L25" s="322"/>
      <c r="M25" s="315"/>
      <c r="N25" s="322"/>
      <c r="O25" s="321"/>
    </row>
    <row r="26" spans="1:20" ht="19.95" customHeight="1">
      <c r="A26" s="469"/>
      <c r="B26" s="470"/>
      <c r="C26" s="470"/>
      <c r="D26" s="470"/>
      <c r="E26" s="470"/>
      <c r="F26" s="470"/>
      <c r="G26" s="470"/>
      <c r="H26" s="470"/>
      <c r="I26" s="470"/>
      <c r="J26" s="470"/>
    </row>
    <row r="27" spans="1:20" ht="28.2" customHeight="1">
      <c r="A27" s="476"/>
      <c r="B27" s="477"/>
      <c r="C27" s="477"/>
      <c r="D27" s="477"/>
      <c r="E27" s="477"/>
      <c r="F27" s="477"/>
      <c r="G27" s="477"/>
      <c r="H27" s="477"/>
      <c r="I27" s="477"/>
      <c r="J27" s="477"/>
      <c r="L27" s="300"/>
      <c r="O27" s="300"/>
    </row>
    <row r="28" spans="1:20" ht="37.950000000000003" customHeight="1">
      <c r="A28" s="469"/>
      <c r="B28" s="470"/>
      <c r="C28" s="470"/>
      <c r="D28" s="470"/>
      <c r="E28" s="470"/>
      <c r="F28" s="470"/>
      <c r="G28" s="470"/>
      <c r="H28" s="470"/>
      <c r="I28" s="470"/>
      <c r="J28" s="470"/>
    </row>
    <row r="29" spans="1:20" ht="19.2" customHeight="1">
      <c r="A29" s="469"/>
      <c r="B29" s="470"/>
      <c r="C29" s="470"/>
      <c r="D29" s="470"/>
      <c r="E29" s="470"/>
      <c r="F29" s="470"/>
      <c r="G29" s="470"/>
      <c r="H29" s="470"/>
      <c r="I29" s="470"/>
      <c r="J29" s="470"/>
    </row>
    <row r="30" spans="1:20" ht="17.399999999999999">
      <c r="A30" s="469"/>
      <c r="B30" s="470"/>
      <c r="C30" s="470"/>
      <c r="D30" s="470"/>
      <c r="E30" s="470"/>
      <c r="F30" s="470"/>
      <c r="G30" s="470"/>
      <c r="H30" s="470"/>
      <c r="I30" s="470"/>
      <c r="J30" s="470"/>
      <c r="O30" s="322"/>
    </row>
    <row r="31" spans="1:20">
      <c r="O31" s="322"/>
      <c r="P31" s="322"/>
      <c r="Q31" s="322"/>
    </row>
    <row r="32" spans="1:20">
      <c r="O32" s="322"/>
      <c r="P32" s="322"/>
      <c r="Q32" s="322"/>
    </row>
    <row r="33" spans="7:20">
      <c r="G33" s="322">
        <f>SUM(J16:J19)</f>
        <v>0</v>
      </c>
      <c r="O33" s="322"/>
      <c r="P33" s="322"/>
      <c r="Q33" s="322"/>
    </row>
    <row r="37" spans="7:20">
      <c r="T37" s="321"/>
    </row>
    <row r="38" spans="7:20">
      <c r="T38" s="322"/>
    </row>
    <row r="61" spans="2:7">
      <c r="B61" s="110" t="s">
        <v>879</v>
      </c>
      <c r="F61" s="110">
        <f>0.06756</f>
        <v>6.7559999999999995E-2</v>
      </c>
      <c r="G61" s="110">
        <v>5500</v>
      </c>
    </row>
    <row r="69" spans="2:7">
      <c r="B69" s="110" t="s">
        <v>879</v>
      </c>
      <c r="F69" s="110">
        <f>0.06756*2</f>
        <v>0.13511999999999999</v>
      </c>
      <c r="G69" s="110">
        <v>5500</v>
      </c>
    </row>
    <row r="98" spans="2:9">
      <c r="B98" s="110" t="s">
        <v>879</v>
      </c>
      <c r="G98" s="110">
        <v>5500</v>
      </c>
      <c r="I98" s="110">
        <f>1000*5.5</f>
        <v>5500</v>
      </c>
    </row>
  </sheetData>
  <mergeCells count="48">
    <mergeCell ref="A4:C4"/>
    <mergeCell ref="D4:I4"/>
    <mergeCell ref="A5:C5"/>
    <mergeCell ref="D5:I5"/>
    <mergeCell ref="A15:C15"/>
    <mergeCell ref="D15:I15"/>
    <mergeCell ref="D6:I6"/>
    <mergeCell ref="D7:I7"/>
    <mergeCell ref="D8:I8"/>
    <mergeCell ref="D14:I14"/>
    <mergeCell ref="A6:C6"/>
    <mergeCell ref="A7:C7"/>
    <mergeCell ref="A8:C8"/>
    <mergeCell ref="A10:C10"/>
    <mergeCell ref="A9:C9"/>
    <mergeCell ref="A11:C11"/>
    <mergeCell ref="F1:H1"/>
    <mergeCell ref="I1:J1"/>
    <mergeCell ref="F2:H2"/>
    <mergeCell ref="I2:J2"/>
    <mergeCell ref="A3:J3"/>
    <mergeCell ref="C2:D2"/>
    <mergeCell ref="D9:I9"/>
    <mergeCell ref="D10:I10"/>
    <mergeCell ref="D11:I11"/>
    <mergeCell ref="D12:I12"/>
    <mergeCell ref="D13:I13"/>
    <mergeCell ref="A30:J30"/>
    <mergeCell ref="A12:C12"/>
    <mergeCell ref="A13:C13"/>
    <mergeCell ref="A14:C14"/>
    <mergeCell ref="A21:C21"/>
    <mergeCell ref="A17:C17"/>
    <mergeCell ref="D17:I17"/>
    <mergeCell ref="A18:C18"/>
    <mergeCell ref="D18:I18"/>
    <mergeCell ref="A19:C19"/>
    <mergeCell ref="D19:I19"/>
    <mergeCell ref="A22:J22"/>
    <mergeCell ref="A25:J25"/>
    <mergeCell ref="A26:J26"/>
    <mergeCell ref="A24:J24"/>
    <mergeCell ref="A27:J27"/>
    <mergeCell ref="A28:J28"/>
    <mergeCell ref="A29:J29"/>
    <mergeCell ref="A16:C16"/>
    <mergeCell ref="D16:I16"/>
    <mergeCell ref="A23:J23"/>
  </mergeCells>
  <pageMargins left="0.51181102362204722" right="0.51181102362204722" top="0.98425196850393704" bottom="0.98425196850393704" header="0.51181102362204722" footer="0.51181102362204722"/>
  <pageSetup paperSize="9" scale="67" fitToHeight="0" orientation="landscape" r:id="rId1"/>
  <headerFooter>
    <oddHeader>&amp;L &amp;C Prefeitura Municipal de Barreirinhas
CNPJ: 06.217.954/0001-37
 Av. Joaquim Soeiro de Carvalho, 533, Barreirinhas/MA, CEP 65590-000</oddHeader>
    <oddFooter>&amp;L &amp;C
 &amp;R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39997558519241921"/>
    <pageSetUpPr fitToPage="1"/>
  </sheetPr>
  <dimension ref="A1:P40"/>
  <sheetViews>
    <sheetView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6.109375" style="110" bestFit="1" customWidth="1"/>
    <col min="11" max="11" width="14.4414062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838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523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>
        <f>'MC - Santa Maria'!N14</f>
        <v>0</v>
      </c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Santa Maria'!N16</f>
        <v>0</v>
      </c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Santa Maria'!N18</f>
        <v>0</v>
      </c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Santa Maria'!N20</f>
        <v>0</v>
      </c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5.95" customHeight="1">
      <c r="A10" s="330">
        <v>4</v>
      </c>
      <c r="B10" s="330"/>
      <c r="C10" s="330"/>
      <c r="D10" s="330" t="s">
        <v>839</v>
      </c>
      <c r="E10" s="330"/>
      <c r="F10" s="335"/>
      <c r="G10" s="332"/>
      <c r="H10" s="332"/>
      <c r="I10" s="333">
        <f>I11+I18+I24+I30+I35</f>
        <v>830602.75</v>
      </c>
      <c r="J10" s="338">
        <v>1499898.49</v>
      </c>
      <c r="K10" s="336">
        <f>J10-I10</f>
        <v>669295.74</v>
      </c>
    </row>
    <row r="11" spans="1:11" s="334" customFormat="1" ht="24" customHeight="1">
      <c r="A11" s="330" t="s">
        <v>43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5771.65</v>
      </c>
    </row>
    <row r="12" spans="1:11" ht="39" customHeight="1">
      <c r="A12" s="237" t="s">
        <v>641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Santa Maria'!N24</f>
        <v>15.36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2093.41</v>
      </c>
    </row>
    <row r="13" spans="1:11" ht="25.95" customHeight="1">
      <c r="A13" s="237" t="s">
        <v>642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Santa Maria'!N26</f>
        <v>21.54</v>
      </c>
      <c r="G13" s="271">
        <v>2.66</v>
      </c>
      <c r="H13" s="271">
        <f t="shared" si="0"/>
        <v>3.3</v>
      </c>
      <c r="I13" s="271">
        <f t="shared" si="1"/>
        <v>71.08</v>
      </c>
    </row>
    <row r="14" spans="1:11" ht="52.2" customHeight="1">
      <c r="A14" s="237" t="s">
        <v>643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Santa Maria'!N28</f>
        <v>21.38</v>
      </c>
      <c r="G14" s="271">
        <v>8.5299999999999994</v>
      </c>
      <c r="H14" s="271">
        <f t="shared" si="0"/>
        <v>10.6</v>
      </c>
      <c r="I14" s="271">
        <f t="shared" si="1"/>
        <v>226.63</v>
      </c>
    </row>
    <row r="15" spans="1:11" ht="39" customHeight="1">
      <c r="A15" s="237" t="s">
        <v>644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Santa Maria'!N30</f>
        <v>213.8</v>
      </c>
      <c r="G15" s="271">
        <v>2.93</v>
      </c>
      <c r="H15" s="271">
        <f t="shared" si="0"/>
        <v>3.64</v>
      </c>
      <c r="I15" s="271">
        <f t="shared" si="1"/>
        <v>778.23</v>
      </c>
    </row>
    <row r="16" spans="1:11" ht="25.95" customHeight="1">
      <c r="A16" s="237" t="s">
        <v>645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Santa Maria'!N32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5.95" customHeight="1">
      <c r="A17" s="237" t="s">
        <v>646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Santa Maria'!N34</f>
        <v>76.8</v>
      </c>
      <c r="G17" s="271">
        <f>CPUs!H37</f>
        <v>26.78</v>
      </c>
      <c r="H17" s="271">
        <f t="shared" si="0"/>
        <v>33.270000000000003</v>
      </c>
      <c r="I17" s="271">
        <f t="shared" si="1"/>
        <v>2555.14</v>
      </c>
    </row>
    <row r="18" spans="1:16" s="334" customFormat="1" ht="24" customHeight="1">
      <c r="A18" s="330" t="s">
        <v>44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9203.44</v>
      </c>
    </row>
    <row r="19" spans="1:16" ht="52.2" customHeight="1">
      <c r="A19" s="237" t="s">
        <v>647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Santa Maria'!N37</f>
        <v>44.8</v>
      </c>
      <c r="G19" s="271">
        <v>14.96</v>
      </c>
      <c r="H19" s="271">
        <f t="shared" si="0"/>
        <v>18.579999999999998</v>
      </c>
      <c r="I19" s="271">
        <f>ROUND(H19*F19,2)</f>
        <v>832.38</v>
      </c>
    </row>
    <row r="20" spans="1:16" ht="39" customHeight="1">
      <c r="A20" s="237" t="s">
        <v>648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Santa Maria'!N41</f>
        <v>515.20000000000005</v>
      </c>
      <c r="G20" s="271">
        <v>2.93</v>
      </c>
      <c r="H20" s="271">
        <f t="shared" si="0"/>
        <v>3.64</v>
      </c>
      <c r="I20" s="271">
        <f>ROUND(H20*F20,2)</f>
        <v>1875.33</v>
      </c>
    </row>
    <row r="21" spans="1:16" ht="25.95" customHeight="1">
      <c r="A21" s="237" t="s">
        <v>649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Santa Maria'!N43</f>
        <v>36.61</v>
      </c>
      <c r="G21" s="271">
        <v>82.09</v>
      </c>
      <c r="H21" s="271">
        <f t="shared" si="0"/>
        <v>101.98</v>
      </c>
      <c r="I21" s="271">
        <f>ROUND(H21*F21,2)</f>
        <v>3733.49</v>
      </c>
    </row>
    <row r="22" spans="1:16" ht="39" customHeight="1">
      <c r="A22" s="237" t="s">
        <v>650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Santa Maria'!N45</f>
        <v>421.02</v>
      </c>
      <c r="G22" s="271">
        <v>2.93</v>
      </c>
      <c r="H22" s="271">
        <f t="shared" si="0"/>
        <v>3.64</v>
      </c>
      <c r="I22" s="271">
        <f>ROUND(H22*F22,2)</f>
        <v>1532.51</v>
      </c>
    </row>
    <row r="23" spans="1:16" ht="25.95" customHeight="1">
      <c r="A23" s="237" t="s">
        <v>651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Santa Maria'!N47</f>
        <v>36.61</v>
      </c>
      <c r="G23" s="271">
        <v>27.04</v>
      </c>
      <c r="H23" s="271">
        <f t="shared" si="0"/>
        <v>33.590000000000003</v>
      </c>
      <c r="I23" s="271">
        <f>ROUND(H23*F23,2)</f>
        <v>1229.73</v>
      </c>
    </row>
    <row r="24" spans="1:16" s="334" customFormat="1" ht="31.2" customHeight="1">
      <c r="A24" s="330" t="s">
        <v>566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413522.36</v>
      </c>
    </row>
    <row r="25" spans="1:16" ht="39" customHeight="1">
      <c r="A25" s="237" t="s">
        <v>652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Santa Maria'!N50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653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Santa Maria'!N53</f>
        <v>0.53</v>
      </c>
      <c r="G26" s="271">
        <v>581.69000000000005</v>
      </c>
      <c r="H26" s="271">
        <f t="shared" si="2"/>
        <v>722.63</v>
      </c>
      <c r="I26" s="271">
        <f>ROUND(H26*F26,2)</f>
        <v>382.99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654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Santa Maria'!N60</f>
        <v>37.380000000000003</v>
      </c>
      <c r="G27" s="271">
        <v>3843.08</v>
      </c>
      <c r="H27" s="271">
        <f t="shared" si="0"/>
        <v>4774.26</v>
      </c>
      <c r="I27" s="271">
        <f>ROUND(H27*F27,2)</f>
        <v>178461.84</v>
      </c>
    </row>
    <row r="28" spans="1:16" ht="39" customHeight="1">
      <c r="A28" s="237" t="s">
        <v>655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Santa Maria'!N67</f>
        <v>180</v>
      </c>
      <c r="G28" s="271">
        <f>CPUs!H66</f>
        <v>780.37999999999988</v>
      </c>
      <c r="H28" s="271">
        <f t="shared" si="0"/>
        <v>969.47</v>
      </c>
      <c r="I28" s="271">
        <f>ROUND(H28*F28,2)</f>
        <v>174504.6</v>
      </c>
    </row>
    <row r="29" spans="1:16" ht="24" customHeight="1">
      <c r="A29" s="237" t="s">
        <v>656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Santa Maria'!N70</f>
        <v>54.4</v>
      </c>
      <c r="G29" s="271">
        <f>CPUs!H74</f>
        <v>890.38</v>
      </c>
      <c r="H29" s="271">
        <f t="shared" si="0"/>
        <v>1106.1199999999999</v>
      </c>
      <c r="I29" s="271">
        <f>ROUND(H29*F29,2)</f>
        <v>60172.93</v>
      </c>
    </row>
    <row r="30" spans="1:16" s="334" customFormat="1" ht="24" customHeight="1">
      <c r="A30" s="330" t="s">
        <v>618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401620.67</v>
      </c>
    </row>
    <row r="31" spans="1:16" ht="39" customHeight="1">
      <c r="A31" s="237" t="s">
        <v>657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Santa Maria'!N74</f>
        <v>475.79999999999995</v>
      </c>
      <c r="G31" s="271">
        <f>CPUs!H90</f>
        <v>537.33000000000004</v>
      </c>
      <c r="H31" s="271">
        <f t="shared" si="0"/>
        <v>667.53</v>
      </c>
      <c r="I31" s="271">
        <f>ROUND(H31*F31,2)</f>
        <v>317610.77</v>
      </c>
    </row>
    <row r="32" spans="1:16" ht="64.95" customHeight="1">
      <c r="A32" s="237" t="s">
        <v>658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Santa Maria'!N78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66" hidden="1">
      <c r="A33" s="237" t="s">
        <v>659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Santa Maria'!N80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660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Santa Maria'!N82</f>
        <v>48.6</v>
      </c>
      <c r="G34" s="271">
        <f>CPUs!H124</f>
        <v>1256.7800000000002</v>
      </c>
      <c r="H34" s="271">
        <f t="shared" si="0"/>
        <v>1561.3</v>
      </c>
      <c r="I34" s="271">
        <f>ROUND(H34*F34,2)</f>
        <v>75879.179999999993</v>
      </c>
    </row>
    <row r="35" spans="1:10" s="334" customFormat="1" ht="24" customHeight="1">
      <c r="A35" s="330" t="s">
        <v>617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484.63</v>
      </c>
    </row>
    <row r="36" spans="1:10">
      <c r="A36" s="237" t="s">
        <v>661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Santa Maria'!N85</f>
        <v>77.760000000000005</v>
      </c>
      <c r="G36" s="271">
        <v>1.71</v>
      </c>
      <c r="H36" s="271">
        <f t="shared" ref="H36" si="3">ROUND(G36*(100%+$G$2),2)</f>
        <v>2.12</v>
      </c>
      <c r="I36" s="271">
        <f>ROUND(H36*F36,2)</f>
        <v>164.85</v>
      </c>
    </row>
    <row r="37" spans="1:10">
      <c r="A37" s="237" t="s">
        <v>662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830602.74999999988</v>
      </c>
      <c r="J39" s="324"/>
    </row>
    <row r="40" spans="1:10" ht="70.2" customHeight="1">
      <c r="A40" s="489"/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A38:C38"/>
    <mergeCell ref="F38:G38"/>
    <mergeCell ref="H38:I38"/>
    <mergeCell ref="E1:F1"/>
    <mergeCell ref="G1:H1"/>
    <mergeCell ref="E2:F2"/>
    <mergeCell ref="G2:H2"/>
    <mergeCell ref="A3:I3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ignoredErrors>
    <ignoredError sqref="I24" 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39997558519241921"/>
    <pageSetUpPr fitToPage="1"/>
  </sheetPr>
  <dimension ref="A1:X92"/>
  <sheetViews>
    <sheetView showGridLines="0"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7.109375" style="110" bestFit="1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526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24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3.2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556</v>
      </c>
      <c r="Q6" s="219">
        <f>17/4</f>
        <v>4.25</v>
      </c>
      <c r="R6" s="258">
        <v>5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R9-1</f>
        <v>5</v>
      </c>
      <c r="K7" s="222" t="s">
        <v>392</v>
      </c>
      <c r="L7" s="220" t="s">
        <v>540</v>
      </c>
      <c r="M7" s="219">
        <f>3*J7</f>
        <v>15</v>
      </c>
      <c r="N7" s="220" t="s">
        <v>541</v>
      </c>
      <c r="P7" s="298" t="s">
        <v>513</v>
      </c>
      <c r="Q7" s="219">
        <f>17/4</f>
        <v>4.25</v>
      </c>
      <c r="R7" s="258">
        <v>5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514</v>
      </c>
      <c r="Q8" s="219">
        <f>19/4</f>
        <v>4.75</v>
      </c>
      <c r="R8" s="258">
        <v>5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9.7/4</f>
        <v>2.4249999999999998</v>
      </c>
      <c r="R12" s="258">
        <v>3</v>
      </c>
      <c r="S12" s="259" t="s">
        <v>417</v>
      </c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 t="s">
        <v>361</v>
      </c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24</v>
      </c>
      <c r="F24" s="231">
        <f>J4</f>
        <v>3.2</v>
      </c>
      <c r="G24" s="232">
        <f>ROUND(E24*F24,2)</f>
        <v>76.8</v>
      </c>
      <c r="H24" s="232">
        <v>0.2</v>
      </c>
      <c r="I24" s="232"/>
      <c r="J24" s="232"/>
      <c r="K24" s="232"/>
      <c r="L24" s="232"/>
      <c r="M24" s="232">
        <f>G24*H24</f>
        <v>15.36</v>
      </c>
      <c r="N24" s="233">
        <f>M24</f>
        <v>15.36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10.77</v>
      </c>
      <c r="H26" s="257"/>
      <c r="I26" s="244"/>
      <c r="J26" s="244"/>
      <c r="K26" s="244"/>
      <c r="L26" s="244"/>
      <c r="M26" s="232"/>
      <c r="N26" s="233">
        <f>ROUND(G26*D26,2)</f>
        <v>21.54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21.54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15.36</v>
      </c>
      <c r="N28" s="233">
        <f>ROUND((G28*H28*K28)+(M28*K28),2)</f>
        <v>21.38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21.38</v>
      </c>
      <c r="N30" s="233">
        <f>ROUND(M30*L30,2)</f>
        <v>213.8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24</v>
      </c>
      <c r="F34" s="231">
        <f>F24</f>
        <v>3.2</v>
      </c>
      <c r="G34" s="244">
        <f>ROUND(E34*F34,2)</f>
        <v>76.8</v>
      </c>
      <c r="H34" s="244"/>
      <c r="I34" s="244"/>
      <c r="J34" s="244"/>
      <c r="K34" s="244"/>
      <c r="L34" s="244"/>
      <c r="M34" s="232"/>
      <c r="N34" s="233">
        <f>G34</f>
        <v>76.8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44.8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8.9600000000000009</v>
      </c>
      <c r="H38" s="232"/>
      <c r="I38" s="232">
        <f>1+1.5</f>
        <v>2.5</v>
      </c>
      <c r="J38" s="232"/>
      <c r="K38" s="232"/>
      <c r="L38" s="232"/>
      <c r="M38" s="232">
        <f>ROUND(G38*I38*D38,2)</f>
        <v>44.8</v>
      </c>
      <c r="N38" s="248">
        <f>M38</f>
        <v>44.8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3.5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44.8</v>
      </c>
      <c r="N41" s="233">
        <f>ROUND(K41*M41*L41,2)</f>
        <v>515.20000000000005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5.23</v>
      </c>
      <c r="H43" s="244"/>
      <c r="I43" s="244">
        <f>J9-I38</f>
        <v>3.5</v>
      </c>
      <c r="J43" s="244"/>
      <c r="K43" s="244"/>
      <c r="L43" s="244"/>
      <c r="M43" s="232">
        <f>ROUND(G43*I43*D43,2)</f>
        <v>36.61</v>
      </c>
      <c r="N43" s="233">
        <f>M43</f>
        <v>36.61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36.61</v>
      </c>
      <c r="N45" s="233">
        <f>ROUND(M45*K45*L45,2)</f>
        <v>421.02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36.61</v>
      </c>
      <c r="N47" s="233">
        <f>M47</f>
        <v>36.61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536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0.53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2.67</v>
      </c>
      <c r="H54" s="232">
        <v>0.1</v>
      </c>
      <c r="I54" s="232"/>
      <c r="J54" s="232"/>
      <c r="K54" s="232"/>
      <c r="L54" s="232"/>
      <c r="M54" s="232">
        <f>ROUND(G54*H54*D54,2)</f>
        <v>0.53</v>
      </c>
      <c r="N54" s="248">
        <f>M54</f>
        <v>0.53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37.380000000000003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2.67</v>
      </c>
      <c r="H61" s="232"/>
      <c r="I61" s="232">
        <v>7</v>
      </c>
      <c r="J61" s="232"/>
      <c r="K61" s="232"/>
      <c r="L61" s="232"/>
      <c r="M61" s="232">
        <f>ROUND(G61*I61*D61,2)</f>
        <v>37.380000000000003</v>
      </c>
      <c r="N61" s="248">
        <f>M61</f>
        <v>37.380000000000003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3.2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180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15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180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54.4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10</v>
      </c>
      <c r="E71" s="231">
        <v>5.44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54.4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475.79999999999995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18</v>
      </c>
      <c r="E75" s="231">
        <f>J3+(0.15+0.15)</f>
        <v>24.3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437.4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12</v>
      </c>
      <c r="E76" s="231">
        <f>E65</f>
        <v>3.2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38.4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77.760000000000005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24.3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48.6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24.3</v>
      </c>
      <c r="F85" s="231">
        <f>E76</f>
        <v>3.2</v>
      </c>
      <c r="G85" s="244">
        <f>ROUND(E85*F85,2)</f>
        <v>77.760000000000005</v>
      </c>
      <c r="H85" s="244"/>
      <c r="I85" s="244"/>
      <c r="J85" s="244"/>
      <c r="K85" s="244"/>
      <c r="L85" s="244"/>
      <c r="M85" s="232"/>
      <c r="N85" s="233">
        <f>G85</f>
        <v>77.760000000000005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" right="0.5" top="1" bottom="1" header="0.5" footer="0.5"/>
  <pageSetup paperSize="9" scale="48" fitToHeight="0" orientation="portrait" r:id="rId1"/>
  <headerFooter>
    <oddHeader>&amp;L &amp;C &amp;R</oddHeader>
    <oddFooter>&amp;L &amp;C
 &amp;R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39997558519241921"/>
    <pageSetUpPr fitToPage="1"/>
  </sheetPr>
  <dimension ref="A1:P40"/>
  <sheetViews>
    <sheetView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6.109375" style="110" bestFit="1" customWidth="1"/>
    <col min="11" max="11" width="14.4414062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840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557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>
        <f>'MC - Piquizeiro'!N14</f>
        <v>0</v>
      </c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Piquizeiro'!N16</f>
        <v>0</v>
      </c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Piquizeiro'!N18</f>
        <v>0</v>
      </c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Piquizeiro'!N20</f>
        <v>0</v>
      </c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5.95" customHeight="1">
      <c r="A10" s="330">
        <v>5</v>
      </c>
      <c r="B10" s="330"/>
      <c r="C10" s="330"/>
      <c r="D10" s="330" t="s">
        <v>841</v>
      </c>
      <c r="E10" s="330"/>
      <c r="F10" s="335"/>
      <c r="G10" s="332"/>
      <c r="H10" s="332"/>
      <c r="I10" s="333">
        <f>I11+I18+I24+I30+I35</f>
        <v>1937783.58</v>
      </c>
      <c r="J10" s="336">
        <v>3740379.5</v>
      </c>
      <c r="K10" s="336">
        <f>J10-I10</f>
        <v>1802595.92</v>
      </c>
    </row>
    <row r="11" spans="1:11" s="334" customFormat="1" ht="24" customHeight="1">
      <c r="A11" s="330" t="s">
        <v>45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14606.3</v>
      </c>
    </row>
    <row r="12" spans="1:11" ht="39" customHeight="1">
      <c r="A12" s="237" t="s">
        <v>663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Piquizeiro'!N24</f>
        <v>40.200000000000003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5478.86</v>
      </c>
    </row>
    <row r="13" spans="1:11" ht="25.95" customHeight="1">
      <c r="A13" s="237" t="s">
        <v>664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Piquizeiro'!N26</f>
        <v>19.3</v>
      </c>
      <c r="G13" s="271">
        <v>2.66</v>
      </c>
      <c r="H13" s="271">
        <f t="shared" si="0"/>
        <v>3.3</v>
      </c>
      <c r="I13" s="271">
        <f t="shared" si="1"/>
        <v>63.69</v>
      </c>
    </row>
    <row r="14" spans="1:11" ht="52.2" customHeight="1">
      <c r="A14" s="237" t="s">
        <v>665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Piquizeiro'!N28</f>
        <v>49.56</v>
      </c>
      <c r="G14" s="271">
        <v>8.5299999999999994</v>
      </c>
      <c r="H14" s="271">
        <f t="shared" si="0"/>
        <v>10.6</v>
      </c>
      <c r="I14" s="271">
        <f t="shared" si="1"/>
        <v>525.34</v>
      </c>
    </row>
    <row r="15" spans="1:11" ht="39" customHeight="1">
      <c r="A15" s="237" t="s">
        <v>666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Piquizeiro'!N30</f>
        <v>495.6</v>
      </c>
      <c r="G15" s="271">
        <v>2.93</v>
      </c>
      <c r="H15" s="271">
        <f t="shared" si="0"/>
        <v>3.64</v>
      </c>
      <c r="I15" s="271">
        <f t="shared" si="1"/>
        <v>1803.98</v>
      </c>
    </row>
    <row r="16" spans="1:11" ht="25.95" customHeight="1">
      <c r="A16" s="237" t="s">
        <v>667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Piquizeiro'!N32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5.95" customHeight="1">
      <c r="A17" s="237" t="s">
        <v>668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Piquizeiro'!N34</f>
        <v>201</v>
      </c>
      <c r="G17" s="271">
        <f>CPUs!H37</f>
        <v>26.78</v>
      </c>
      <c r="H17" s="271">
        <f t="shared" si="0"/>
        <v>33.270000000000003</v>
      </c>
      <c r="I17" s="271">
        <f t="shared" si="1"/>
        <v>6687.27</v>
      </c>
    </row>
    <row r="18" spans="1:16" s="334" customFormat="1" ht="24" customHeight="1">
      <c r="A18" s="330" t="s">
        <v>606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8173.9000000000005</v>
      </c>
    </row>
    <row r="19" spans="1:16" ht="52.2" customHeight="1">
      <c r="A19" s="237" t="s">
        <v>669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Piquizeiro'!N37</f>
        <v>42.15</v>
      </c>
      <c r="G19" s="271">
        <v>14.96</v>
      </c>
      <c r="H19" s="271">
        <f t="shared" si="0"/>
        <v>18.579999999999998</v>
      </c>
      <c r="I19" s="271">
        <f>ROUND(H19*F19,2)</f>
        <v>783.15</v>
      </c>
    </row>
    <row r="20" spans="1:16" ht="39" customHeight="1">
      <c r="A20" s="237" t="s">
        <v>670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Piquizeiro'!N41</f>
        <v>484.73</v>
      </c>
      <c r="G20" s="271">
        <v>2.93</v>
      </c>
      <c r="H20" s="271">
        <f t="shared" si="0"/>
        <v>3.64</v>
      </c>
      <c r="I20" s="271">
        <f>ROUND(H20*F20,2)</f>
        <v>1764.42</v>
      </c>
    </row>
    <row r="21" spans="1:16" ht="25.95" customHeight="1">
      <c r="A21" s="237" t="s">
        <v>671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Piquizeiro'!N43</f>
        <v>31.71</v>
      </c>
      <c r="G21" s="271">
        <v>82.09</v>
      </c>
      <c r="H21" s="271">
        <f t="shared" si="0"/>
        <v>101.98</v>
      </c>
      <c r="I21" s="271">
        <f>ROUND(H21*F21,2)</f>
        <v>3233.79</v>
      </c>
    </row>
    <row r="22" spans="1:16" ht="39" customHeight="1">
      <c r="A22" s="237" t="s">
        <v>672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Piquizeiro'!N45</f>
        <v>364.67</v>
      </c>
      <c r="G22" s="271">
        <v>2.93</v>
      </c>
      <c r="H22" s="271">
        <f t="shared" si="0"/>
        <v>3.64</v>
      </c>
      <c r="I22" s="271">
        <f>ROUND(H22*F22,2)</f>
        <v>1327.4</v>
      </c>
    </row>
    <row r="23" spans="1:16" ht="25.95" customHeight="1">
      <c r="A23" s="237" t="s">
        <v>673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Piquizeiro'!N47</f>
        <v>31.71</v>
      </c>
      <c r="G23" s="271">
        <v>27.04</v>
      </c>
      <c r="H23" s="271">
        <f t="shared" si="0"/>
        <v>33.590000000000003</v>
      </c>
      <c r="I23" s="271">
        <f>ROUND(H23*F23,2)</f>
        <v>1065.1400000000001</v>
      </c>
    </row>
    <row r="24" spans="1:16" s="334" customFormat="1" ht="31.2" customHeight="1">
      <c r="A24" s="330" t="s">
        <v>674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868169.92</v>
      </c>
    </row>
    <row r="25" spans="1:16" ht="39" customHeight="1">
      <c r="A25" s="237" t="s">
        <v>675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Piquizeiro'!N50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676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Piquizeiro'!N53</f>
        <v>0.5</v>
      </c>
      <c r="G26" s="271">
        <v>581.69000000000005</v>
      </c>
      <c r="H26" s="271">
        <f t="shared" si="2"/>
        <v>722.63</v>
      </c>
      <c r="I26" s="271">
        <f>ROUND(H26*F26,2)</f>
        <v>361.32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677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Piquizeiro'!N60</f>
        <v>34.86</v>
      </c>
      <c r="G27" s="271">
        <v>3843.08</v>
      </c>
      <c r="H27" s="271">
        <f t="shared" si="0"/>
        <v>4774.26</v>
      </c>
      <c r="I27" s="271">
        <f>ROUND(H27*F27,2)</f>
        <v>166430.70000000001</v>
      </c>
    </row>
    <row r="28" spans="1:16" ht="39" customHeight="1">
      <c r="A28" s="237" t="s">
        <v>678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Piquizeiro'!N67</f>
        <v>540</v>
      </c>
      <c r="G28" s="271">
        <f>CPUs!H66</f>
        <v>780.37999999999988</v>
      </c>
      <c r="H28" s="271">
        <f t="shared" si="0"/>
        <v>969.47</v>
      </c>
      <c r="I28" s="271">
        <f>ROUND(H28*F28,2)</f>
        <v>523513.8</v>
      </c>
    </row>
    <row r="29" spans="1:16" ht="24" customHeight="1">
      <c r="A29" s="237" t="s">
        <v>679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Piquizeiro'!N70</f>
        <v>160.80000000000001</v>
      </c>
      <c r="G29" s="271">
        <f>CPUs!H74</f>
        <v>890.38</v>
      </c>
      <c r="H29" s="271">
        <f t="shared" si="0"/>
        <v>1106.1199999999999</v>
      </c>
      <c r="I29" s="271">
        <f>ROUND(H29*F29,2)</f>
        <v>177864.1</v>
      </c>
    </row>
    <row r="30" spans="1:16" s="334" customFormat="1" ht="24" customHeight="1">
      <c r="A30" s="330" t="s">
        <v>680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1046085.6499999999</v>
      </c>
    </row>
    <row r="31" spans="1:16" ht="39" customHeight="1">
      <c r="A31" s="237" t="s">
        <v>681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Piquizeiro'!N74</f>
        <v>1240.0999999999999</v>
      </c>
      <c r="G31" s="271">
        <f>CPUs!H90</f>
        <v>537.33000000000004</v>
      </c>
      <c r="H31" s="271">
        <f t="shared" si="0"/>
        <v>667.53</v>
      </c>
      <c r="I31" s="271">
        <f>ROUND(H31*F31,2)</f>
        <v>827803.95</v>
      </c>
    </row>
    <row r="32" spans="1:16" ht="40.950000000000003" customHeight="1">
      <c r="A32" s="237" t="s">
        <v>682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Piquizeiro'!N78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70.2" hidden="1" customHeight="1">
      <c r="A33" s="237" t="s">
        <v>683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Piquizeiro'!N80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6.4" customHeight="1">
      <c r="A34" s="237" t="s">
        <v>684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Piquizeiro'!N82</f>
        <v>134.6</v>
      </c>
      <c r="G34" s="271">
        <f>CPUs!H124</f>
        <v>1256.7800000000002</v>
      </c>
      <c r="H34" s="271">
        <f t="shared" si="0"/>
        <v>1561.3</v>
      </c>
      <c r="I34" s="271">
        <f>ROUND(H34*F34,2)</f>
        <v>210150.98</v>
      </c>
    </row>
    <row r="35" spans="1:10" s="334" customFormat="1" ht="23.4" customHeight="1">
      <c r="A35" s="330" t="s">
        <v>685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747.81</v>
      </c>
    </row>
    <row r="36" spans="1:10">
      <c r="A36" s="237" t="s">
        <v>686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Piquizeiro'!N85</f>
        <v>201.9</v>
      </c>
      <c r="G36" s="271">
        <v>1.71</v>
      </c>
      <c r="H36" s="271">
        <f t="shared" ref="H36" si="3">ROUND(G36*(100%+$G$2),2)</f>
        <v>2.12</v>
      </c>
      <c r="I36" s="271">
        <f>ROUND(H36*F36,2)</f>
        <v>428.03</v>
      </c>
    </row>
    <row r="37" spans="1:10">
      <c r="A37" s="237" t="s">
        <v>687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1937783.5799999998</v>
      </c>
      <c r="J39" s="324"/>
    </row>
    <row r="40" spans="1:10" ht="70.2" customHeight="1">
      <c r="A40" s="489" t="s">
        <v>378</v>
      </c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A38:C38"/>
    <mergeCell ref="F38:G38"/>
    <mergeCell ref="H38:I38"/>
    <mergeCell ref="E1:F1"/>
    <mergeCell ref="G1:H1"/>
    <mergeCell ref="E2:F2"/>
    <mergeCell ref="G2:H2"/>
    <mergeCell ref="A3:I3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ignoredErrors>
    <ignoredError sqref="I24 I30 I35" formula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39997558519241921"/>
    <pageSetUpPr fitToPage="1"/>
  </sheetPr>
  <dimension ref="A1:X92"/>
  <sheetViews>
    <sheetView showGridLines="0"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9.109375" style="110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525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67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556</v>
      </c>
      <c r="Q6" s="219">
        <f>17/4</f>
        <v>4.25</v>
      </c>
      <c r="R6" s="258">
        <v>4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R10-1</f>
        <v>15</v>
      </c>
      <c r="K7" s="222" t="s">
        <v>392</v>
      </c>
      <c r="L7" s="220" t="s">
        <v>540</v>
      </c>
      <c r="M7" s="219">
        <f>3*J7</f>
        <v>45</v>
      </c>
      <c r="N7" s="220" t="s">
        <v>541</v>
      </c>
      <c r="P7" s="298" t="s">
        <v>513</v>
      </c>
      <c r="Q7" s="219">
        <f>17/4</f>
        <v>4.25</v>
      </c>
      <c r="R7" s="258">
        <v>4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514</v>
      </c>
      <c r="Q8" s="219">
        <f>19/4</f>
        <v>4.75</v>
      </c>
      <c r="R8" s="258">
        <v>4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9.7/4</f>
        <v>2.4249999999999998</v>
      </c>
      <c r="R12" s="258">
        <v>2</v>
      </c>
      <c r="S12" s="259" t="s">
        <v>417</v>
      </c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 t="s">
        <v>361</v>
      </c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67</v>
      </c>
      <c r="F24" s="231">
        <f>J4</f>
        <v>3</v>
      </c>
      <c r="G24" s="232">
        <f>ROUND(E24*F24,2)</f>
        <v>201</v>
      </c>
      <c r="H24" s="232">
        <v>0.2</v>
      </c>
      <c r="I24" s="232"/>
      <c r="J24" s="232"/>
      <c r="K24" s="232"/>
      <c r="L24" s="232"/>
      <c r="M24" s="232">
        <f>G24*H24</f>
        <v>40.200000000000003</v>
      </c>
      <c r="N24" s="233">
        <f>M24</f>
        <v>40.200000000000003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9.65</v>
      </c>
      <c r="H26" s="257"/>
      <c r="I26" s="244"/>
      <c r="J26" s="244"/>
      <c r="K26" s="244"/>
      <c r="L26" s="244"/>
      <c r="M26" s="232"/>
      <c r="N26" s="233">
        <f>ROUND(G26*D26,2)</f>
        <v>19.3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19.3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40.200000000000003</v>
      </c>
      <c r="N28" s="233">
        <f>ROUND((G28*H28*K28)+(M28*K28),2)</f>
        <v>49.56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49.56</v>
      </c>
      <c r="N30" s="233">
        <f>ROUND(M30*L30,2)</f>
        <v>495.6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67</v>
      </c>
      <c r="F34" s="231">
        <f>F24</f>
        <v>3</v>
      </c>
      <c r="G34" s="244">
        <f>ROUND(E34*F34,2)</f>
        <v>201</v>
      </c>
      <c r="H34" s="244"/>
      <c r="I34" s="244"/>
      <c r="J34" s="244"/>
      <c r="K34" s="244"/>
      <c r="L34" s="244"/>
      <c r="M34" s="232"/>
      <c r="N34" s="233">
        <f>G34</f>
        <v>201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42.15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8.43</v>
      </c>
      <c r="H38" s="232"/>
      <c r="I38" s="232">
        <f>1+1.5</f>
        <v>2.5</v>
      </c>
      <c r="J38" s="232"/>
      <c r="K38" s="232"/>
      <c r="L38" s="232"/>
      <c r="M38" s="232">
        <f>ROUND(G38*I38*D38,2)</f>
        <v>42.15</v>
      </c>
      <c r="N38" s="248">
        <f>M38</f>
        <v>42.15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3.3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42.15</v>
      </c>
      <c r="N41" s="233">
        <f>ROUND(K41*M41*L41,2)</f>
        <v>484.73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4.53</v>
      </c>
      <c r="H43" s="244"/>
      <c r="I43" s="244">
        <f>J9-I38</f>
        <v>3.5</v>
      </c>
      <c r="J43" s="244"/>
      <c r="K43" s="244"/>
      <c r="L43" s="244"/>
      <c r="M43" s="232">
        <f>ROUND(G43*I43*D43,2)</f>
        <v>31.71</v>
      </c>
      <c r="N43" s="233">
        <f>M43</f>
        <v>31.71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31.71</v>
      </c>
      <c r="N45" s="233">
        <f>ROUND(M45*K45*L45,2)</f>
        <v>364.67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31.71</v>
      </c>
      <c r="N47" s="233">
        <f>M47</f>
        <v>31.71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536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2.4900000000000002</v>
      </c>
      <c r="H54" s="232">
        <v>0.1</v>
      </c>
      <c r="I54" s="232"/>
      <c r="J54" s="232"/>
      <c r="K54" s="232"/>
      <c r="L54" s="232"/>
      <c r="M54" s="232">
        <f>ROUND(G54*H54*D54,2)</f>
        <v>0.5</v>
      </c>
      <c r="N54" s="248">
        <f>M54</f>
        <v>0.5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34.86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2.4900000000000002</v>
      </c>
      <c r="H61" s="232"/>
      <c r="I61" s="232">
        <v>7</v>
      </c>
      <c r="J61" s="232"/>
      <c r="K61" s="232"/>
      <c r="L61" s="232"/>
      <c r="M61" s="232">
        <f>ROUND(G61*I61*D61,2)</f>
        <v>34.86</v>
      </c>
      <c r="N61" s="248">
        <f>M61</f>
        <v>34.86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540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45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540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160.80000000000001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30</v>
      </c>
      <c r="E71" s="231">
        <v>5.36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160.80000000000001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1240.0999999999999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17</v>
      </c>
      <c r="E75" s="231">
        <f>J3+(0.15+0.15)</f>
        <v>67.3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1144.0999999999999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32</v>
      </c>
      <c r="E76" s="231">
        <f>E65</f>
        <v>3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96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201.9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67.3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134.6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67.3</v>
      </c>
      <c r="F85" s="231">
        <f>E76</f>
        <v>3</v>
      </c>
      <c r="G85" s="244">
        <f>ROUND(E85*F85,2)</f>
        <v>201.9</v>
      </c>
      <c r="H85" s="244"/>
      <c r="I85" s="244"/>
      <c r="J85" s="244"/>
      <c r="K85" s="244"/>
      <c r="L85" s="244"/>
      <c r="M85" s="232"/>
      <c r="N85" s="233">
        <f>G85</f>
        <v>201.9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" right="0.5" top="1" bottom="1" header="0.5" footer="0.5"/>
  <pageSetup paperSize="9" scale="47" fitToHeight="0" orientation="portrait" r:id="rId1"/>
  <headerFooter>
    <oddHeader>&amp;L &amp;C &amp;R</oddHeader>
    <oddFooter>&amp;L &amp;C
 &amp;R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0.59999389629810485"/>
    <pageSetUpPr fitToPage="1"/>
  </sheetPr>
  <dimension ref="A1:P40"/>
  <sheetViews>
    <sheetView showOutlineSymbols="0" showWhiteSpace="0" view="pageBreakPreview" topLeftCell="A25" zoomScale="90" zoomScaleNormal="100" zoomScaleSheetLayoutView="90" workbookViewId="0">
      <selection activeCell="M11" sqref="M11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6.109375" style="110" bestFit="1" customWidth="1"/>
    <col min="11" max="11" width="14.4414062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842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568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>
        <f>'MC - Santo Inácio'!N14</f>
        <v>0</v>
      </c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Santo Inácio'!N16</f>
        <v>0</v>
      </c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Santo Inácio'!N18</f>
        <v>0</v>
      </c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Santo Inácio'!N20</f>
        <v>0</v>
      </c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5.95" customHeight="1">
      <c r="A10" s="330">
        <v>6</v>
      </c>
      <c r="B10" s="330"/>
      <c r="C10" s="330"/>
      <c r="D10" s="330" t="s">
        <v>843</v>
      </c>
      <c r="E10" s="330"/>
      <c r="F10" s="335"/>
      <c r="G10" s="332"/>
      <c r="H10" s="332"/>
      <c r="I10" s="333">
        <f>I11+I18+I24+I30+I35</f>
        <v>1609200.6500000001</v>
      </c>
      <c r="J10" s="338">
        <v>3085397.74</v>
      </c>
      <c r="K10" s="336">
        <f>J10-I10</f>
        <v>1476197.09</v>
      </c>
    </row>
    <row r="11" spans="1:11" s="334" customFormat="1" ht="24" customHeight="1">
      <c r="A11" s="330" t="s">
        <v>688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12038.13</v>
      </c>
    </row>
    <row r="12" spans="1:11" ht="39" customHeight="1">
      <c r="A12" s="237" t="s">
        <v>689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Santo Inácio'!N24</f>
        <v>33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4497.57</v>
      </c>
    </row>
    <row r="13" spans="1:11" ht="25.95" customHeight="1">
      <c r="A13" s="237" t="s">
        <v>690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Santo Inácio'!N26</f>
        <v>19.3</v>
      </c>
      <c r="G13" s="271">
        <v>2.66</v>
      </c>
      <c r="H13" s="271">
        <f t="shared" si="0"/>
        <v>3.3</v>
      </c>
      <c r="I13" s="271">
        <f t="shared" si="1"/>
        <v>63.69</v>
      </c>
    </row>
    <row r="14" spans="1:11" ht="52.2" customHeight="1">
      <c r="A14" s="237" t="s">
        <v>691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Santo Inácio'!N28</f>
        <v>41.28</v>
      </c>
      <c r="G14" s="271">
        <v>8.5299999999999994</v>
      </c>
      <c r="H14" s="271">
        <f t="shared" si="0"/>
        <v>10.6</v>
      </c>
      <c r="I14" s="271">
        <f t="shared" si="1"/>
        <v>437.57</v>
      </c>
    </row>
    <row r="15" spans="1:11" ht="39" customHeight="1">
      <c r="A15" s="237" t="s">
        <v>692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Santo Inácio'!N30</f>
        <v>412.8</v>
      </c>
      <c r="G15" s="271">
        <v>2.93</v>
      </c>
      <c r="H15" s="271">
        <f t="shared" si="0"/>
        <v>3.64</v>
      </c>
      <c r="I15" s="271">
        <f t="shared" si="1"/>
        <v>1502.59</v>
      </c>
    </row>
    <row r="16" spans="1:11" ht="25.95" customHeight="1">
      <c r="A16" s="237" t="s">
        <v>693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Santo Inácio'!N32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5.95" customHeight="1">
      <c r="A17" s="237" t="s">
        <v>694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Santo Inácio'!N34</f>
        <v>165</v>
      </c>
      <c r="G17" s="271">
        <f>CPUs!H37</f>
        <v>26.78</v>
      </c>
      <c r="H17" s="271">
        <f t="shared" si="0"/>
        <v>33.270000000000003</v>
      </c>
      <c r="I17" s="271">
        <f t="shared" si="1"/>
        <v>5489.55</v>
      </c>
    </row>
    <row r="18" spans="1:16" s="334" customFormat="1" ht="24" customHeight="1">
      <c r="A18" s="330" t="s">
        <v>695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8173.9000000000005</v>
      </c>
    </row>
    <row r="19" spans="1:16" ht="52.2" customHeight="1">
      <c r="A19" s="237" t="s">
        <v>696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Santo Inácio'!N37</f>
        <v>42.15</v>
      </c>
      <c r="G19" s="271">
        <v>14.96</v>
      </c>
      <c r="H19" s="271">
        <f t="shared" si="0"/>
        <v>18.579999999999998</v>
      </c>
      <c r="I19" s="271">
        <f>ROUND(H19*F19,2)</f>
        <v>783.15</v>
      </c>
    </row>
    <row r="20" spans="1:16" ht="39" customHeight="1">
      <c r="A20" s="237" t="s">
        <v>697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Santo Inácio'!N41</f>
        <v>484.73</v>
      </c>
      <c r="G20" s="271">
        <v>2.93</v>
      </c>
      <c r="H20" s="271">
        <f t="shared" si="0"/>
        <v>3.64</v>
      </c>
      <c r="I20" s="271">
        <f>ROUND(H20*F20,2)</f>
        <v>1764.42</v>
      </c>
    </row>
    <row r="21" spans="1:16" ht="25.95" customHeight="1">
      <c r="A21" s="237" t="s">
        <v>698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Santo Inácio'!N43</f>
        <v>31.71</v>
      </c>
      <c r="G21" s="271">
        <v>82.09</v>
      </c>
      <c r="H21" s="271">
        <f t="shared" si="0"/>
        <v>101.98</v>
      </c>
      <c r="I21" s="271">
        <f>ROUND(H21*F21,2)</f>
        <v>3233.79</v>
      </c>
    </row>
    <row r="22" spans="1:16" ht="39" customHeight="1">
      <c r="A22" s="237" t="s">
        <v>699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Santo Inácio'!N45</f>
        <v>364.67</v>
      </c>
      <c r="G22" s="271">
        <v>2.93</v>
      </c>
      <c r="H22" s="271">
        <f t="shared" si="0"/>
        <v>3.64</v>
      </c>
      <c r="I22" s="271">
        <f>ROUND(H22*F22,2)</f>
        <v>1327.4</v>
      </c>
    </row>
    <row r="23" spans="1:16" ht="25.95" customHeight="1">
      <c r="A23" s="237" t="s">
        <v>700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Santo Inácio'!N47</f>
        <v>31.71</v>
      </c>
      <c r="G23" s="271">
        <v>27.04</v>
      </c>
      <c r="H23" s="271">
        <f t="shared" si="0"/>
        <v>33.590000000000003</v>
      </c>
      <c r="I23" s="271">
        <f>ROUND(H23*F23,2)</f>
        <v>1065.1400000000001</v>
      </c>
    </row>
    <row r="24" spans="1:16" s="334" customFormat="1" ht="31.2" customHeight="1">
      <c r="A24" s="330" t="s">
        <v>701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727894.34000000008</v>
      </c>
    </row>
    <row r="25" spans="1:16" ht="39" customHeight="1">
      <c r="A25" s="237" t="s">
        <v>702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Santo Inácio'!N50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703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Santo Inácio'!N53</f>
        <v>0.5</v>
      </c>
      <c r="G26" s="271">
        <v>581.69000000000005</v>
      </c>
      <c r="H26" s="271">
        <f t="shared" si="2"/>
        <v>722.63</v>
      </c>
      <c r="I26" s="271">
        <f>ROUND(H26*F26,2)</f>
        <v>361.32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704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Santo Inácio'!N60</f>
        <v>34.86</v>
      </c>
      <c r="G27" s="271">
        <v>3843.08</v>
      </c>
      <c r="H27" s="271">
        <f t="shared" si="0"/>
        <v>4774.26</v>
      </c>
      <c r="I27" s="271">
        <f>ROUND(H27*F27,2)</f>
        <v>166430.70000000001</v>
      </c>
    </row>
    <row r="28" spans="1:16" ht="39" customHeight="1">
      <c r="A28" s="237" t="s">
        <v>705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Santo Inácio'!N67</f>
        <v>432</v>
      </c>
      <c r="G28" s="271">
        <f>CPUs!H66</f>
        <v>780.37999999999988</v>
      </c>
      <c r="H28" s="271">
        <f t="shared" si="0"/>
        <v>969.47</v>
      </c>
      <c r="I28" s="271">
        <f>ROUND(H28*F28,2)</f>
        <v>418811.04</v>
      </c>
    </row>
    <row r="29" spans="1:16" ht="24" customHeight="1">
      <c r="A29" s="237" t="s">
        <v>706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Santo Inácio'!N70</f>
        <v>128.63999999999999</v>
      </c>
      <c r="G29" s="271">
        <f>CPUs!H74</f>
        <v>890.38</v>
      </c>
      <c r="H29" s="271">
        <f t="shared" si="0"/>
        <v>1106.1199999999999</v>
      </c>
      <c r="I29" s="271">
        <f>ROUND(H29*F29,2)</f>
        <v>142291.28</v>
      </c>
    </row>
    <row r="30" spans="1:16" s="334" customFormat="1" ht="24" customHeight="1">
      <c r="A30" s="330" t="s">
        <v>707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860422.79</v>
      </c>
    </row>
    <row r="31" spans="1:16" ht="25.95" customHeight="1">
      <c r="A31" s="237" t="s">
        <v>708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Santo Inácio'!N74</f>
        <v>1018.1</v>
      </c>
      <c r="G31" s="271">
        <f>CPUs!H90</f>
        <v>537.33000000000004</v>
      </c>
      <c r="H31" s="271">
        <f t="shared" si="0"/>
        <v>667.53</v>
      </c>
      <c r="I31" s="271">
        <f>ROUND(H31*F31,2)</f>
        <v>679612.29</v>
      </c>
    </row>
    <row r="32" spans="1:16" ht="36" customHeight="1">
      <c r="A32" s="237" t="s">
        <v>709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Santo Inácio'!N78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66" hidden="1">
      <c r="A33" s="237" t="s">
        <v>710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Santo Inácio'!N80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711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Santo Inácio'!N82</f>
        <v>110.6</v>
      </c>
      <c r="G34" s="271">
        <f>CPUs!H124</f>
        <v>1256.7800000000002</v>
      </c>
      <c r="H34" s="271">
        <f t="shared" si="0"/>
        <v>1561.3</v>
      </c>
      <c r="I34" s="271">
        <f>ROUND(H34*F34,2)</f>
        <v>172679.78</v>
      </c>
    </row>
    <row r="35" spans="1:10" s="334" customFormat="1" ht="21.6" customHeight="1">
      <c r="A35" s="330" t="s">
        <v>712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671.49</v>
      </c>
    </row>
    <row r="36" spans="1:10">
      <c r="A36" s="237" t="s">
        <v>713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Santo Inácio'!N85</f>
        <v>165.9</v>
      </c>
      <c r="G36" s="271">
        <v>1.71</v>
      </c>
      <c r="H36" s="271">
        <f t="shared" ref="H36" si="3">ROUND(G36*(100%+$G$2),2)</f>
        <v>2.12</v>
      </c>
      <c r="I36" s="271">
        <f>ROUND(H36*F36,2)</f>
        <v>351.71</v>
      </c>
    </row>
    <row r="37" spans="1:10">
      <c r="A37" s="237" t="s">
        <v>714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1609200.65</v>
      </c>
      <c r="J39" s="324"/>
    </row>
    <row r="40" spans="1:10" ht="70.2" customHeight="1">
      <c r="A40" s="489" t="s">
        <v>378</v>
      </c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A38:C38"/>
    <mergeCell ref="F38:G38"/>
    <mergeCell ref="H38:I38"/>
    <mergeCell ref="E1:F1"/>
    <mergeCell ref="G1:H1"/>
    <mergeCell ref="E2:F2"/>
    <mergeCell ref="G2:H2"/>
    <mergeCell ref="A3:I3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 tint="0.59999389629810485"/>
    <pageSetUpPr fitToPage="1"/>
  </sheetPr>
  <dimension ref="A1:X92"/>
  <sheetViews>
    <sheetView showGridLines="0" showOutlineSymbols="0" showWhiteSpace="0" view="pageBreakPreview" zoomScale="90" zoomScaleNormal="100" zoomScaleSheetLayoutView="90" workbookViewId="0">
      <selection activeCell="M11" sqref="M11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9.109375" style="110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527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55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556</v>
      </c>
      <c r="Q6" s="219">
        <f>17/4</f>
        <v>4.25</v>
      </c>
      <c r="R6" s="258">
        <v>4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R11-1</f>
        <v>12</v>
      </c>
      <c r="K7" s="222" t="s">
        <v>392</v>
      </c>
      <c r="L7" s="220" t="s">
        <v>540</v>
      </c>
      <c r="M7" s="219">
        <f>3*J7</f>
        <v>36</v>
      </c>
      <c r="N7" s="220" t="s">
        <v>541</v>
      </c>
      <c r="P7" s="298" t="s">
        <v>513</v>
      </c>
      <c r="Q7" s="219">
        <f>17/4</f>
        <v>4.25</v>
      </c>
      <c r="R7" s="258">
        <v>4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514</v>
      </c>
      <c r="Q8" s="219">
        <f>19/4</f>
        <v>4.75</v>
      </c>
      <c r="R8" s="258">
        <v>4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9.7/4</f>
        <v>2.4249999999999998</v>
      </c>
      <c r="R12" s="258">
        <v>2</v>
      </c>
      <c r="S12" s="259" t="s">
        <v>417</v>
      </c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 t="s">
        <v>361</v>
      </c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55</v>
      </c>
      <c r="F24" s="231">
        <f>J4</f>
        <v>3</v>
      </c>
      <c r="G24" s="232">
        <f>ROUND(E24*F24,2)</f>
        <v>165</v>
      </c>
      <c r="H24" s="232">
        <v>0.2</v>
      </c>
      <c r="I24" s="232"/>
      <c r="J24" s="232"/>
      <c r="K24" s="232"/>
      <c r="L24" s="232"/>
      <c r="M24" s="232">
        <f>G24*H24</f>
        <v>33</v>
      </c>
      <c r="N24" s="233">
        <f>M24</f>
        <v>33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9.65</v>
      </c>
      <c r="H26" s="257"/>
      <c r="I26" s="244"/>
      <c r="J26" s="244"/>
      <c r="K26" s="244"/>
      <c r="L26" s="244"/>
      <c r="M26" s="232"/>
      <c r="N26" s="233">
        <f>ROUND(G26*D26,2)</f>
        <v>19.3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19.3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33</v>
      </c>
      <c r="N28" s="233">
        <f>ROUND((G28*H28*K28)+(M28*K28),2)</f>
        <v>41.28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41.28</v>
      </c>
      <c r="N30" s="233">
        <f>ROUND(M30*L30,2)</f>
        <v>412.8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55</v>
      </c>
      <c r="F34" s="231">
        <f>F24</f>
        <v>3</v>
      </c>
      <c r="G34" s="244">
        <f>ROUND(E34*F34,2)</f>
        <v>165</v>
      </c>
      <c r="H34" s="244"/>
      <c r="I34" s="244"/>
      <c r="J34" s="244"/>
      <c r="K34" s="244"/>
      <c r="L34" s="244"/>
      <c r="M34" s="232"/>
      <c r="N34" s="233">
        <f>G34</f>
        <v>165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42.15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8.43</v>
      </c>
      <c r="H38" s="232"/>
      <c r="I38" s="232">
        <f>1+1.5</f>
        <v>2.5</v>
      </c>
      <c r="J38" s="232"/>
      <c r="K38" s="232"/>
      <c r="L38" s="232"/>
      <c r="M38" s="232">
        <f>ROUND(G38*I38*D38,2)</f>
        <v>42.15</v>
      </c>
      <c r="N38" s="248">
        <f>M38</f>
        <v>42.15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3.3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42.15</v>
      </c>
      <c r="N41" s="233">
        <f>ROUND(K41*M41*L41,2)</f>
        <v>484.73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4.53</v>
      </c>
      <c r="H43" s="244"/>
      <c r="I43" s="244">
        <f>J9-I38</f>
        <v>3.5</v>
      </c>
      <c r="J43" s="244"/>
      <c r="K43" s="244"/>
      <c r="L43" s="244"/>
      <c r="M43" s="232">
        <f>ROUND(G43*I43*D43,2)</f>
        <v>31.71</v>
      </c>
      <c r="N43" s="233">
        <f>M43</f>
        <v>31.71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31.71</v>
      </c>
      <c r="N45" s="233">
        <f>ROUND(M45*K45*L45,2)</f>
        <v>364.67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31.71</v>
      </c>
      <c r="N47" s="233">
        <f>M47</f>
        <v>31.71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536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2.4900000000000002</v>
      </c>
      <c r="H54" s="232">
        <v>0.1</v>
      </c>
      <c r="I54" s="232"/>
      <c r="J54" s="232"/>
      <c r="K54" s="232"/>
      <c r="L54" s="232"/>
      <c r="M54" s="232">
        <f>ROUND(G54*H54*D54,2)</f>
        <v>0.5</v>
      </c>
      <c r="N54" s="248">
        <f>M54</f>
        <v>0.5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34.86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2.4900000000000002</v>
      </c>
      <c r="H61" s="232"/>
      <c r="I61" s="232">
        <v>7</v>
      </c>
      <c r="J61" s="232"/>
      <c r="K61" s="232"/>
      <c r="L61" s="232"/>
      <c r="M61" s="232">
        <f>ROUND(G61*I61*D61,2)</f>
        <v>34.86</v>
      </c>
      <c r="N61" s="248">
        <f>M61</f>
        <v>34.86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432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36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432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128.63999999999999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24</v>
      </c>
      <c r="E71" s="231">
        <v>5.36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128.63999999999999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1018.1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17</v>
      </c>
      <c r="E75" s="231">
        <f>J3+(0.15+0.15)</f>
        <v>55.3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940.1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26</v>
      </c>
      <c r="E76" s="231">
        <f>E65</f>
        <v>3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78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165.9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566</v>
      </c>
      <c r="B82" s="229" t="s">
        <v>375</v>
      </c>
      <c r="C82" s="230" t="s">
        <v>28</v>
      </c>
      <c r="D82" s="230">
        <v>2</v>
      </c>
      <c r="E82" s="231">
        <f>E75</f>
        <v>55.3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110.6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55.3</v>
      </c>
      <c r="F85" s="231">
        <f>E76</f>
        <v>3</v>
      </c>
      <c r="G85" s="244">
        <f>ROUND(E85*F85,2)</f>
        <v>165.9</v>
      </c>
      <c r="H85" s="244"/>
      <c r="I85" s="244"/>
      <c r="J85" s="244"/>
      <c r="K85" s="244"/>
      <c r="L85" s="244"/>
      <c r="M85" s="232"/>
      <c r="N85" s="233">
        <f>G85</f>
        <v>165.9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" right="0.5" top="1" bottom="1" header="0.5" footer="0.5"/>
  <pageSetup paperSize="9" scale="47" fitToHeight="0" orientation="portrait" r:id="rId1"/>
  <headerFooter>
    <oddHeader>&amp;L &amp;C &amp;R</oddHeader>
    <oddFooter>&amp;L &amp;C
 &amp;R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-0.249977111117893"/>
    <pageSetUpPr fitToPage="1"/>
  </sheetPr>
  <dimension ref="A1:P40"/>
  <sheetViews>
    <sheetView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4.44140625" style="110" bestFit="1" customWidth="1"/>
    <col min="11" max="11" width="17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844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558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>
        <f>'MC - Sucuruju'!N14</f>
        <v>0</v>
      </c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Sucuruju'!N16</f>
        <v>0</v>
      </c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Sucuruju'!N18</f>
        <v>0</v>
      </c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Sucuruju'!N20</f>
        <v>0</v>
      </c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5.95" customHeight="1">
      <c r="A10" s="330">
        <v>7</v>
      </c>
      <c r="B10" s="330"/>
      <c r="C10" s="330"/>
      <c r="D10" s="330" t="s">
        <v>845</v>
      </c>
      <c r="E10" s="330"/>
      <c r="F10" s="335"/>
      <c r="G10" s="332"/>
      <c r="H10" s="332"/>
      <c r="I10" s="333">
        <f>I11+I18+I24+I30+I35</f>
        <v>489374.65</v>
      </c>
      <c r="J10" s="338">
        <v>714802.3</v>
      </c>
      <c r="K10" s="336">
        <f>J10-I10</f>
        <v>225427.65000000002</v>
      </c>
    </row>
    <row r="11" spans="1:11" s="334" customFormat="1" ht="24" customHeight="1">
      <c r="A11" s="330" t="s">
        <v>715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2745.09</v>
      </c>
    </row>
    <row r="12" spans="1:11" ht="39" customHeight="1">
      <c r="A12" s="237" t="s">
        <v>716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Sucuruju'!N24</f>
        <v>6.8000000000000007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926.77</v>
      </c>
    </row>
    <row r="13" spans="1:11" ht="25.95" customHeight="1">
      <c r="A13" s="237" t="s">
        <v>717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Sucuruju'!N26</f>
        <v>23.88</v>
      </c>
      <c r="G13" s="271">
        <v>2.66</v>
      </c>
      <c r="H13" s="271">
        <f t="shared" si="0"/>
        <v>3.3</v>
      </c>
      <c r="I13" s="271">
        <f t="shared" si="1"/>
        <v>78.8</v>
      </c>
    </row>
    <row r="14" spans="1:11" ht="52.2" customHeight="1">
      <c r="A14" s="237" t="s">
        <v>718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Sucuruju'!N28</f>
        <v>11.94</v>
      </c>
      <c r="G14" s="271">
        <v>8.5299999999999994</v>
      </c>
      <c r="H14" s="271">
        <f t="shared" si="0"/>
        <v>10.6</v>
      </c>
      <c r="I14" s="271">
        <f t="shared" si="1"/>
        <v>126.56</v>
      </c>
    </row>
    <row r="15" spans="1:11" ht="39" customHeight="1">
      <c r="A15" s="237" t="s">
        <v>719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Sucuruju'!N30</f>
        <v>119.4</v>
      </c>
      <c r="G15" s="271">
        <v>2.93</v>
      </c>
      <c r="H15" s="271">
        <f t="shared" si="0"/>
        <v>3.64</v>
      </c>
      <c r="I15" s="271">
        <f t="shared" si="1"/>
        <v>434.62</v>
      </c>
    </row>
    <row r="16" spans="1:11" ht="25.95" customHeight="1">
      <c r="A16" s="237" t="s">
        <v>720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Sucuruju'!N32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5.95" customHeight="1">
      <c r="A17" s="237" t="s">
        <v>721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Sucuruju'!N34</f>
        <v>34</v>
      </c>
      <c r="G17" s="271">
        <f>CPUs!H37</f>
        <v>26.78</v>
      </c>
      <c r="H17" s="271">
        <f t="shared" si="0"/>
        <v>33.270000000000003</v>
      </c>
      <c r="I17" s="271">
        <f t="shared" si="1"/>
        <v>1131.18</v>
      </c>
    </row>
    <row r="18" spans="1:16" s="334" customFormat="1" ht="24" customHeight="1">
      <c r="A18" s="330" t="s">
        <v>722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10307.560000000001</v>
      </c>
    </row>
    <row r="19" spans="1:16" ht="52.2" customHeight="1">
      <c r="A19" s="237" t="s">
        <v>723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Sucuruju'!N37</f>
        <v>47.45</v>
      </c>
      <c r="G19" s="271">
        <v>14.96</v>
      </c>
      <c r="H19" s="271">
        <f t="shared" si="0"/>
        <v>18.579999999999998</v>
      </c>
      <c r="I19" s="271">
        <f>ROUND(H19*F19,2)</f>
        <v>881.62</v>
      </c>
    </row>
    <row r="20" spans="1:16" ht="39" customHeight="1">
      <c r="A20" s="237" t="s">
        <v>724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Sucuruju'!N41</f>
        <v>545.67999999999995</v>
      </c>
      <c r="G20" s="271">
        <v>2.93</v>
      </c>
      <c r="H20" s="271">
        <f t="shared" si="0"/>
        <v>3.64</v>
      </c>
      <c r="I20" s="271">
        <f>ROUND(H20*F20,2)</f>
        <v>1986.28</v>
      </c>
    </row>
    <row r="21" spans="1:16" ht="25.95" customHeight="1">
      <c r="A21" s="237" t="s">
        <v>725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Sucuruju'!N43</f>
        <v>41.93</v>
      </c>
      <c r="G21" s="271">
        <v>82.09</v>
      </c>
      <c r="H21" s="271">
        <f t="shared" si="0"/>
        <v>101.98</v>
      </c>
      <c r="I21" s="271">
        <f>ROUND(H21*F21,2)</f>
        <v>4276.0200000000004</v>
      </c>
    </row>
    <row r="22" spans="1:16" ht="39" customHeight="1">
      <c r="A22" s="237" t="s">
        <v>726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Sucuruju'!N45</f>
        <v>482.2</v>
      </c>
      <c r="G22" s="271">
        <v>2.93</v>
      </c>
      <c r="H22" s="271">
        <f t="shared" si="0"/>
        <v>3.64</v>
      </c>
      <c r="I22" s="271">
        <f>ROUND(H22*F22,2)</f>
        <v>1755.21</v>
      </c>
    </row>
    <row r="23" spans="1:16" ht="25.95" customHeight="1">
      <c r="A23" s="237" t="s">
        <v>727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Sucuruju'!N47</f>
        <v>41.93</v>
      </c>
      <c r="G23" s="271">
        <v>27.04</v>
      </c>
      <c r="H23" s="271">
        <f t="shared" si="0"/>
        <v>33.590000000000003</v>
      </c>
      <c r="I23" s="271">
        <f>ROUND(H23*F23,2)</f>
        <v>1408.43</v>
      </c>
    </row>
    <row r="24" spans="1:16" s="334" customFormat="1" ht="31.2" customHeight="1">
      <c r="A24" s="330" t="s">
        <v>728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284505.69</v>
      </c>
    </row>
    <row r="25" spans="1:16" ht="39" customHeight="1">
      <c r="A25" s="237" t="s">
        <v>729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Sucuruju'!N50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730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Sucuruju'!N53</f>
        <v>0.56999999999999995</v>
      </c>
      <c r="G26" s="271">
        <v>581.69000000000005</v>
      </c>
      <c r="H26" s="271">
        <f t="shared" si="2"/>
        <v>722.63</v>
      </c>
      <c r="I26" s="271">
        <f>ROUND(H26*F26,2)</f>
        <v>411.9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731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Sucuruju'!N60</f>
        <v>39.76</v>
      </c>
      <c r="G27" s="271">
        <v>3843.08</v>
      </c>
      <c r="H27" s="271">
        <f t="shared" si="0"/>
        <v>4774.26</v>
      </c>
      <c r="I27" s="271">
        <f>ROUND(H27*F27,2)</f>
        <v>189824.58</v>
      </c>
    </row>
    <row r="28" spans="1:16" ht="39" customHeight="1">
      <c r="A28" s="237" t="s">
        <v>732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Sucuruju'!N67</f>
        <v>72</v>
      </c>
      <c r="G28" s="271">
        <f>CPUs!H66</f>
        <v>780.37999999999988</v>
      </c>
      <c r="H28" s="271">
        <f t="shared" si="0"/>
        <v>969.47</v>
      </c>
      <c r="I28" s="271">
        <f>ROUND(H28*F28,2)</f>
        <v>69801.84</v>
      </c>
    </row>
    <row r="29" spans="1:16" ht="24" customHeight="1">
      <c r="A29" s="237" t="s">
        <v>733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Sucuruju'!N70</f>
        <v>22.12</v>
      </c>
      <c r="G29" s="271">
        <f>CPUs!H74</f>
        <v>890.38</v>
      </c>
      <c r="H29" s="271">
        <f t="shared" si="0"/>
        <v>1106.1199999999999</v>
      </c>
      <c r="I29" s="271">
        <f>ROUND(H29*F29,2)</f>
        <v>24467.37</v>
      </c>
    </row>
    <row r="30" spans="1:16" s="334" customFormat="1" ht="24" customHeight="1">
      <c r="A30" s="330" t="s">
        <v>734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191422.29</v>
      </c>
    </row>
    <row r="31" spans="1:16" ht="27.6" customHeight="1">
      <c r="A31" s="237" t="s">
        <v>735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Sucuruju'!N74</f>
        <v>226.4</v>
      </c>
      <c r="G31" s="271">
        <f>CPUs!H90</f>
        <v>537.33000000000004</v>
      </c>
      <c r="H31" s="271">
        <f t="shared" si="0"/>
        <v>667.53</v>
      </c>
      <c r="I31" s="271">
        <f>ROUND(H31*F31,2)</f>
        <v>151128.79</v>
      </c>
    </row>
    <row r="32" spans="1:16" ht="40.950000000000003" customHeight="1">
      <c r="A32" s="237" t="s">
        <v>736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Sucuruju'!N78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66" hidden="1">
      <c r="A33" s="237" t="s">
        <v>737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Sucuruju'!N80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738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Sucuruju'!N82</f>
        <v>20.6</v>
      </c>
      <c r="G34" s="271">
        <f>CPUs!H124</f>
        <v>1256.7800000000002</v>
      </c>
      <c r="H34" s="271">
        <f t="shared" si="0"/>
        <v>1561.3</v>
      </c>
      <c r="I34" s="271">
        <f>ROUND(H34*F34,2)</f>
        <v>32162.78</v>
      </c>
    </row>
    <row r="35" spans="1:10" s="334" customFormat="1" ht="19.95" customHeight="1">
      <c r="A35" s="330" t="s">
        <v>739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394.02</v>
      </c>
    </row>
    <row r="36" spans="1:10">
      <c r="A36" s="237" t="s">
        <v>740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Sucuruju'!N85</f>
        <v>35.020000000000003</v>
      </c>
      <c r="G36" s="271">
        <v>1.71</v>
      </c>
      <c r="H36" s="271">
        <f t="shared" ref="H36" si="3">ROUND(G36*(100%+$G$2),2)</f>
        <v>2.12</v>
      </c>
      <c r="I36" s="271">
        <f>ROUND(H36*F36,2)</f>
        <v>74.239999999999995</v>
      </c>
    </row>
    <row r="37" spans="1:10">
      <c r="A37" s="237" t="s">
        <v>741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489374.65</v>
      </c>
      <c r="J39" s="324"/>
    </row>
    <row r="40" spans="1:10" ht="70.2" customHeight="1">
      <c r="A40" s="489" t="s">
        <v>378</v>
      </c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A38:C38"/>
    <mergeCell ref="F38:G38"/>
    <mergeCell ref="H38:I38"/>
    <mergeCell ref="E1:F1"/>
    <mergeCell ref="G1:H1"/>
    <mergeCell ref="E2:F2"/>
    <mergeCell ref="G2:H2"/>
    <mergeCell ref="A3:I3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 tint="-0.249977111117893"/>
    <pageSetUpPr fitToPage="1"/>
  </sheetPr>
  <dimension ref="A1:X92"/>
  <sheetViews>
    <sheetView showGridLines="0"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9.109375" style="110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528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10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3.4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556</v>
      </c>
      <c r="Q6" s="219">
        <f>17/4</f>
        <v>4.25</v>
      </c>
      <c r="R6" s="258">
        <v>4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R12-1</f>
        <v>2</v>
      </c>
      <c r="K7" s="222" t="s">
        <v>392</v>
      </c>
      <c r="L7" s="220" t="s">
        <v>540</v>
      </c>
      <c r="M7" s="219">
        <f>3*J7</f>
        <v>6</v>
      </c>
      <c r="N7" s="220" t="s">
        <v>541</v>
      </c>
      <c r="P7" s="298" t="s">
        <v>513</v>
      </c>
      <c r="Q7" s="219">
        <f>17/4</f>
        <v>4.25</v>
      </c>
      <c r="R7" s="258">
        <v>4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514</v>
      </c>
      <c r="Q8" s="219">
        <f>19/4</f>
        <v>4.75</v>
      </c>
      <c r="R8" s="258">
        <v>4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10/4</f>
        <v>2.5</v>
      </c>
      <c r="R12" s="258">
        <v>3</v>
      </c>
      <c r="S12" s="259" t="s">
        <v>417</v>
      </c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 t="s">
        <v>361</v>
      </c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10</v>
      </c>
      <c r="F24" s="231">
        <f>J4</f>
        <v>3.4</v>
      </c>
      <c r="G24" s="232">
        <f>ROUND(E24*F24,2)</f>
        <v>34</v>
      </c>
      <c r="H24" s="232">
        <v>0.2</v>
      </c>
      <c r="I24" s="232"/>
      <c r="J24" s="232"/>
      <c r="K24" s="232"/>
      <c r="L24" s="232"/>
      <c r="M24" s="232">
        <f>G24*H24</f>
        <v>6.8000000000000007</v>
      </c>
      <c r="N24" s="233">
        <f>M24</f>
        <v>6.8000000000000007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11.94</v>
      </c>
      <c r="H26" s="257"/>
      <c r="I26" s="244"/>
      <c r="J26" s="244"/>
      <c r="K26" s="244"/>
      <c r="L26" s="244"/>
      <c r="M26" s="232"/>
      <c r="N26" s="233">
        <f>ROUND(G26*D26,2)</f>
        <v>23.88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23.88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6.8000000000000007</v>
      </c>
      <c r="N28" s="233">
        <f>ROUND((G28*H28*K28)+(M28*K28),2)</f>
        <v>11.94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11.94</v>
      </c>
      <c r="N30" s="233">
        <f>ROUND(M30*L30,2)</f>
        <v>119.4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10</v>
      </c>
      <c r="F34" s="231">
        <f>F24</f>
        <v>3.4</v>
      </c>
      <c r="G34" s="244">
        <f>ROUND(E34*F34,2)</f>
        <v>34</v>
      </c>
      <c r="H34" s="244"/>
      <c r="I34" s="244"/>
      <c r="J34" s="244"/>
      <c r="K34" s="244"/>
      <c r="L34" s="244"/>
      <c r="M34" s="232"/>
      <c r="N34" s="233">
        <f>G34</f>
        <v>34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47.45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9.49</v>
      </c>
      <c r="H38" s="232"/>
      <c r="I38" s="232">
        <f>1+1.5</f>
        <v>2.5</v>
      </c>
      <c r="J38" s="232"/>
      <c r="K38" s="232"/>
      <c r="L38" s="232"/>
      <c r="M38" s="232">
        <f>ROUND(G38*I38*D38,2)</f>
        <v>47.45</v>
      </c>
      <c r="N38" s="248">
        <f>M38</f>
        <v>47.45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3.6999999999999997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47.45</v>
      </c>
      <c r="N41" s="233">
        <f>ROUND(K41*M41*L41,2)</f>
        <v>545.67999999999995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5.99</v>
      </c>
      <c r="H43" s="244"/>
      <c r="I43" s="244">
        <f>J9-I38</f>
        <v>3.5</v>
      </c>
      <c r="J43" s="244"/>
      <c r="K43" s="244"/>
      <c r="L43" s="244"/>
      <c r="M43" s="232">
        <f>ROUND(G43*I43*D43,2)</f>
        <v>41.93</v>
      </c>
      <c r="N43" s="233">
        <f>M43</f>
        <v>41.93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41.93</v>
      </c>
      <c r="N45" s="233">
        <f>ROUND(M45*K45*L45,2)</f>
        <v>482.2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41.93</v>
      </c>
      <c r="N47" s="233">
        <f>M47</f>
        <v>41.93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536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0.56999999999999995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2.84</v>
      </c>
      <c r="H54" s="232">
        <v>0.1</v>
      </c>
      <c r="I54" s="232"/>
      <c r="J54" s="232"/>
      <c r="K54" s="232"/>
      <c r="L54" s="232"/>
      <c r="M54" s="232">
        <f>ROUND(G54*H54*D54,2)</f>
        <v>0.56999999999999995</v>
      </c>
      <c r="N54" s="248">
        <f>M54</f>
        <v>0.56999999999999995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39.76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2.84</v>
      </c>
      <c r="H61" s="232"/>
      <c r="I61" s="232">
        <v>7</v>
      </c>
      <c r="J61" s="232"/>
      <c r="K61" s="232"/>
      <c r="L61" s="232"/>
      <c r="M61" s="232">
        <f>ROUND(G61*I61*D61,2)</f>
        <v>39.76</v>
      </c>
      <c r="N61" s="248">
        <f>M61</f>
        <v>39.76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3.4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72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6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72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22.12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4</v>
      </c>
      <c r="E71" s="231">
        <v>5.53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22.12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226.4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20</v>
      </c>
      <c r="E75" s="231">
        <f>J3+(0.15+0.15)</f>
        <v>10.3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206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6</v>
      </c>
      <c r="E76" s="231">
        <f>E65</f>
        <v>3.4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20.399999999999999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35.020000000000003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10.3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20.6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10.3</v>
      </c>
      <c r="F85" s="231">
        <f>E76</f>
        <v>3.4</v>
      </c>
      <c r="G85" s="244">
        <f>ROUND(E85*F85,2)</f>
        <v>35.020000000000003</v>
      </c>
      <c r="H85" s="244"/>
      <c r="I85" s="244"/>
      <c r="J85" s="244"/>
      <c r="K85" s="244"/>
      <c r="L85" s="244"/>
      <c r="M85" s="232"/>
      <c r="N85" s="233">
        <f>G85</f>
        <v>35.020000000000003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" right="0.5" top="1" bottom="1" header="0.5" footer="0.5"/>
  <pageSetup paperSize="9" scale="47" fitToHeight="0" orientation="portrait" r:id="rId1"/>
  <headerFooter>
    <oddHeader>&amp;L &amp;C &amp;R</oddHeader>
    <oddFooter>&amp;L &amp;C
 &amp;R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8"/>
    <pageSetUpPr fitToPage="1"/>
  </sheetPr>
  <dimension ref="A1:P40"/>
  <sheetViews>
    <sheetView showOutlineSymbols="0" showWhiteSpace="0" view="pageBreakPreview" zoomScale="90" zoomScaleNormal="100" zoomScaleSheetLayoutView="90" workbookViewId="0">
      <selection activeCell="M11" sqref="M11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7.6640625" style="110" bestFit="1" customWidth="1"/>
    <col min="11" max="11" width="15.8867187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846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529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>
        <f>'MC - Cedro'!N14</f>
        <v>0</v>
      </c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Cedro'!N16</f>
        <v>0</v>
      </c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Cedro'!N18</f>
        <v>0</v>
      </c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Cedro'!N20</f>
        <v>0</v>
      </c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5.95" customHeight="1">
      <c r="A10" s="330">
        <v>8</v>
      </c>
      <c r="B10" s="330"/>
      <c r="C10" s="330"/>
      <c r="D10" s="330" t="s">
        <v>847</v>
      </c>
      <c r="E10" s="330"/>
      <c r="F10" s="335"/>
      <c r="G10" s="332"/>
      <c r="H10" s="332"/>
      <c r="I10" s="333">
        <f>I11+I18+I24+I30+I35</f>
        <v>863888.8899999999</v>
      </c>
      <c r="J10" s="339">
        <v>1481778.83</v>
      </c>
      <c r="K10" s="340">
        <f>J10-I10</f>
        <v>617889.94000000018</v>
      </c>
    </row>
    <row r="11" spans="1:11" s="334" customFormat="1" ht="24" customHeight="1">
      <c r="A11" s="330" t="s">
        <v>742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5617.71</v>
      </c>
    </row>
    <row r="12" spans="1:11" ht="39" customHeight="1">
      <c r="A12" s="237" t="s">
        <v>743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Cedro'!N24</f>
        <v>15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2044.35</v>
      </c>
    </row>
    <row r="13" spans="1:11" ht="25.95" customHeight="1">
      <c r="A13" s="237" t="s">
        <v>744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Cedro'!N26</f>
        <v>19.3</v>
      </c>
      <c r="G13" s="271">
        <v>2.66</v>
      </c>
      <c r="H13" s="271">
        <f t="shared" si="0"/>
        <v>3.3</v>
      </c>
      <c r="I13" s="271">
        <f t="shared" si="1"/>
        <v>63.69</v>
      </c>
    </row>
    <row r="14" spans="1:11" ht="52.2" customHeight="1">
      <c r="A14" s="237" t="s">
        <v>745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Cedro'!N28</f>
        <v>20.58</v>
      </c>
      <c r="G14" s="271">
        <v>8.5299999999999994</v>
      </c>
      <c r="H14" s="271">
        <f t="shared" si="0"/>
        <v>10.6</v>
      </c>
      <c r="I14" s="271">
        <f t="shared" si="1"/>
        <v>218.15</v>
      </c>
    </row>
    <row r="15" spans="1:11" ht="39" customHeight="1">
      <c r="A15" s="237" t="s">
        <v>746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Cedro'!N30</f>
        <v>205.8</v>
      </c>
      <c r="G15" s="271">
        <v>2.93</v>
      </c>
      <c r="H15" s="271">
        <f t="shared" si="0"/>
        <v>3.64</v>
      </c>
      <c r="I15" s="271">
        <f t="shared" si="1"/>
        <v>749.11</v>
      </c>
    </row>
    <row r="16" spans="1:11" ht="25.95" customHeight="1">
      <c r="A16" s="237" t="s">
        <v>747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Cedro'!N32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5.95" customHeight="1">
      <c r="A17" s="237" t="s">
        <v>748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Cedro'!N34</f>
        <v>75</v>
      </c>
      <c r="G17" s="271">
        <f>CPUs!H37</f>
        <v>26.78</v>
      </c>
      <c r="H17" s="271">
        <f t="shared" si="0"/>
        <v>33.270000000000003</v>
      </c>
      <c r="I17" s="271">
        <f t="shared" si="1"/>
        <v>2495.25</v>
      </c>
    </row>
    <row r="18" spans="1:16" s="334" customFormat="1" ht="24" customHeight="1">
      <c r="A18" s="330" t="s">
        <v>749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8173.9000000000005</v>
      </c>
    </row>
    <row r="19" spans="1:16" ht="52.2" customHeight="1">
      <c r="A19" s="237" t="s">
        <v>750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Cedro'!N37</f>
        <v>42.15</v>
      </c>
      <c r="G19" s="271">
        <v>14.96</v>
      </c>
      <c r="H19" s="271">
        <f t="shared" si="0"/>
        <v>18.579999999999998</v>
      </c>
      <c r="I19" s="271">
        <f>ROUND(H19*F19,2)</f>
        <v>783.15</v>
      </c>
    </row>
    <row r="20" spans="1:16" ht="39" customHeight="1">
      <c r="A20" s="237" t="s">
        <v>751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Cedro'!N41</f>
        <v>484.73</v>
      </c>
      <c r="G20" s="271">
        <v>2.93</v>
      </c>
      <c r="H20" s="271">
        <f t="shared" si="0"/>
        <v>3.64</v>
      </c>
      <c r="I20" s="271">
        <f>ROUND(H20*F20,2)</f>
        <v>1764.42</v>
      </c>
    </row>
    <row r="21" spans="1:16" ht="25.95" customHeight="1">
      <c r="A21" s="237" t="s">
        <v>752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Cedro'!N43</f>
        <v>31.71</v>
      </c>
      <c r="G21" s="271">
        <v>82.09</v>
      </c>
      <c r="H21" s="271">
        <f t="shared" si="0"/>
        <v>101.98</v>
      </c>
      <c r="I21" s="271">
        <f>ROUND(H21*F21,2)</f>
        <v>3233.79</v>
      </c>
    </row>
    <row r="22" spans="1:16" ht="39" customHeight="1">
      <c r="A22" s="237" t="s">
        <v>753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Cedro'!N45</f>
        <v>364.67</v>
      </c>
      <c r="G22" s="271">
        <v>2.93</v>
      </c>
      <c r="H22" s="271">
        <f t="shared" si="0"/>
        <v>3.64</v>
      </c>
      <c r="I22" s="271">
        <f>ROUND(H22*F22,2)</f>
        <v>1327.4</v>
      </c>
    </row>
    <row r="23" spans="1:16" ht="25.95" customHeight="1">
      <c r="A23" s="237" t="s">
        <v>754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Cedro'!N47</f>
        <v>31.71</v>
      </c>
      <c r="G23" s="271">
        <v>27.04</v>
      </c>
      <c r="H23" s="271">
        <f t="shared" si="0"/>
        <v>33.590000000000003</v>
      </c>
      <c r="I23" s="271">
        <f>ROUND(H23*F23,2)</f>
        <v>1065.1400000000001</v>
      </c>
    </row>
    <row r="24" spans="1:16" s="334" customFormat="1" ht="31.2" customHeight="1">
      <c r="A24" s="330" t="s">
        <v>755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447343.18000000005</v>
      </c>
    </row>
    <row r="25" spans="1:16" ht="39" customHeight="1">
      <c r="A25" s="237" t="s">
        <v>756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Cedro'!N50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757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Cedro'!N53</f>
        <v>0.5</v>
      </c>
      <c r="G26" s="271">
        <v>581.69000000000005</v>
      </c>
      <c r="H26" s="271">
        <f t="shared" si="2"/>
        <v>722.63</v>
      </c>
      <c r="I26" s="271">
        <f>ROUND(H26*F26,2)</f>
        <v>361.32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758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Cedro'!N60</f>
        <v>34.86</v>
      </c>
      <c r="G27" s="271">
        <v>3843.08</v>
      </c>
      <c r="H27" s="271">
        <f t="shared" si="0"/>
        <v>4774.26</v>
      </c>
      <c r="I27" s="271">
        <f>ROUND(H27*F27,2)</f>
        <v>166430.70000000001</v>
      </c>
    </row>
    <row r="28" spans="1:16" ht="39" customHeight="1">
      <c r="A28" s="237" t="s">
        <v>759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Cedro'!N67</f>
        <v>216</v>
      </c>
      <c r="G28" s="271">
        <f>CPUs!H66</f>
        <v>780.37999999999988</v>
      </c>
      <c r="H28" s="271">
        <f t="shared" si="0"/>
        <v>969.47</v>
      </c>
      <c r="I28" s="271">
        <f>ROUND(H28*F28,2)</f>
        <v>209405.52</v>
      </c>
    </row>
    <row r="29" spans="1:16" ht="24" customHeight="1">
      <c r="A29" s="237" t="s">
        <v>760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Cedro'!N70</f>
        <v>64.319999999999993</v>
      </c>
      <c r="G29" s="271">
        <f>CPUs!H74</f>
        <v>890.38</v>
      </c>
      <c r="H29" s="271">
        <f t="shared" si="0"/>
        <v>1106.1199999999999</v>
      </c>
      <c r="I29" s="271">
        <f>ROUND(H29*F29,2)</f>
        <v>71145.64</v>
      </c>
    </row>
    <row r="30" spans="1:16" s="334" customFormat="1" ht="24" customHeight="1">
      <c r="A30" s="330" t="s">
        <v>761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402273.40999999992</v>
      </c>
    </row>
    <row r="31" spans="1:16" ht="27.6" customHeight="1">
      <c r="A31" s="237" t="s">
        <v>762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Cedro'!N74</f>
        <v>472.1</v>
      </c>
      <c r="G31" s="271">
        <f>CPUs!H90</f>
        <v>537.33000000000004</v>
      </c>
      <c r="H31" s="271">
        <f t="shared" si="0"/>
        <v>667.53</v>
      </c>
      <c r="I31" s="271">
        <f>ROUND(H31*F31,2)</f>
        <v>315140.90999999997</v>
      </c>
    </row>
    <row r="32" spans="1:16" ht="38.4" customHeight="1">
      <c r="A32" s="237" t="s">
        <v>763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Cedro'!N78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66" hidden="1">
      <c r="A33" s="237" t="s">
        <v>764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Cedro'!N80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765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Cedro'!N82</f>
        <v>50.6</v>
      </c>
      <c r="G34" s="271">
        <f>CPUs!H124</f>
        <v>1256.7800000000002</v>
      </c>
      <c r="H34" s="271">
        <f t="shared" si="0"/>
        <v>1561.3</v>
      </c>
      <c r="I34" s="271">
        <f>ROUND(H34*F34,2)</f>
        <v>79001.78</v>
      </c>
    </row>
    <row r="35" spans="1:10" s="334" customFormat="1" ht="21" customHeight="1">
      <c r="A35" s="330" t="s">
        <v>766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480.68999999999994</v>
      </c>
    </row>
    <row r="36" spans="1:10">
      <c r="A36" s="237" t="s">
        <v>767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Cedro'!N85</f>
        <v>75.900000000000006</v>
      </c>
      <c r="G36" s="271">
        <v>1.71</v>
      </c>
      <c r="H36" s="271">
        <f t="shared" ref="H36" si="3">ROUND(G36*(100%+$G$2),2)</f>
        <v>2.12</v>
      </c>
      <c r="I36" s="271">
        <f>ROUND(H36*F36,2)</f>
        <v>160.91</v>
      </c>
    </row>
    <row r="37" spans="1:10">
      <c r="A37" s="237" t="s">
        <v>768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863888.89</v>
      </c>
      <c r="J39" s="324"/>
    </row>
    <row r="40" spans="1:10" ht="70.2" customHeight="1">
      <c r="A40" s="489"/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A38:C38"/>
    <mergeCell ref="F38:G38"/>
    <mergeCell ref="H38:I38"/>
    <mergeCell ref="E1:F1"/>
    <mergeCell ref="G1:H1"/>
    <mergeCell ref="E2:F2"/>
    <mergeCell ref="G2:H2"/>
    <mergeCell ref="A3:I3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8"/>
    <pageSetUpPr fitToPage="1"/>
  </sheetPr>
  <dimension ref="A1:X92"/>
  <sheetViews>
    <sheetView showGridLines="0" showOutlineSymbols="0" showWhiteSpace="0" view="pageBreakPreview" zoomScale="90" zoomScaleNormal="100" zoomScaleSheetLayoutView="90" workbookViewId="0">
      <selection activeCell="M11" sqref="M11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9.109375" style="110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530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25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556</v>
      </c>
      <c r="Q6" s="219">
        <f>17/4</f>
        <v>4.25</v>
      </c>
      <c r="R6" s="258">
        <v>4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R13-1</f>
        <v>6</v>
      </c>
      <c r="K7" s="222" t="s">
        <v>392</v>
      </c>
      <c r="L7" s="220" t="s">
        <v>540</v>
      </c>
      <c r="M7" s="219">
        <f>3*J7</f>
        <v>18</v>
      </c>
      <c r="N7" s="220" t="s">
        <v>541</v>
      </c>
      <c r="P7" s="298" t="s">
        <v>513</v>
      </c>
      <c r="Q7" s="219">
        <f>17/4</f>
        <v>4.25</v>
      </c>
      <c r="R7" s="258">
        <v>4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514</v>
      </c>
      <c r="Q8" s="219">
        <f>19/4</f>
        <v>4.75</v>
      </c>
      <c r="R8" s="258">
        <v>4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9.7/4</f>
        <v>2.4249999999999998</v>
      </c>
      <c r="R12" s="258">
        <v>2</v>
      </c>
      <c r="S12" s="259" t="s">
        <v>417</v>
      </c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7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 t="s">
        <v>361</v>
      </c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25</v>
      </c>
      <c r="F24" s="231">
        <f>J4</f>
        <v>3</v>
      </c>
      <c r="G24" s="232">
        <f>ROUND(E24*F24,2)</f>
        <v>75</v>
      </c>
      <c r="H24" s="232">
        <v>0.2</v>
      </c>
      <c r="I24" s="232"/>
      <c r="J24" s="232"/>
      <c r="K24" s="232"/>
      <c r="L24" s="232"/>
      <c r="M24" s="232">
        <f>G24*H24</f>
        <v>15</v>
      </c>
      <c r="N24" s="233">
        <f>M24</f>
        <v>15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9.65</v>
      </c>
      <c r="H26" s="257"/>
      <c r="I26" s="244"/>
      <c r="J26" s="244"/>
      <c r="K26" s="244"/>
      <c r="L26" s="244"/>
      <c r="M26" s="232"/>
      <c r="N26" s="233">
        <f>ROUND(G26*D26,2)</f>
        <v>19.3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19.3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15</v>
      </c>
      <c r="N28" s="233">
        <f>ROUND((G28*H28*K28)+(M28*K28),2)</f>
        <v>20.58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20.58</v>
      </c>
      <c r="N30" s="233">
        <f>ROUND(M30*L30,2)</f>
        <v>205.8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25</v>
      </c>
      <c r="F34" s="231">
        <f>F24</f>
        <v>3</v>
      </c>
      <c r="G34" s="244">
        <f>ROUND(E34*F34,2)</f>
        <v>75</v>
      </c>
      <c r="H34" s="244"/>
      <c r="I34" s="244"/>
      <c r="J34" s="244"/>
      <c r="K34" s="244"/>
      <c r="L34" s="244"/>
      <c r="M34" s="232"/>
      <c r="N34" s="233">
        <f>G34</f>
        <v>75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42.15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8.43</v>
      </c>
      <c r="H38" s="232"/>
      <c r="I38" s="232">
        <f>1+1.5</f>
        <v>2.5</v>
      </c>
      <c r="J38" s="232"/>
      <c r="K38" s="232"/>
      <c r="L38" s="232"/>
      <c r="M38" s="232">
        <f>ROUND(G38*I38*D38,2)</f>
        <v>42.15</v>
      </c>
      <c r="N38" s="248">
        <f>M38</f>
        <v>42.15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3.3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42.15</v>
      </c>
      <c r="N41" s="233">
        <f>ROUND(K41*M41*L41,2)</f>
        <v>484.73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4.53</v>
      </c>
      <c r="H43" s="244"/>
      <c r="I43" s="244">
        <f>J9-I38</f>
        <v>3.5</v>
      </c>
      <c r="J43" s="244"/>
      <c r="K43" s="244"/>
      <c r="L43" s="244"/>
      <c r="M43" s="232">
        <f>ROUND(G43*I43*D43,2)</f>
        <v>31.71</v>
      </c>
      <c r="N43" s="233">
        <f>M43</f>
        <v>31.71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31.71</v>
      </c>
      <c r="N45" s="233">
        <f>ROUND(M45*K45*L45,2)</f>
        <v>364.67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31.71</v>
      </c>
      <c r="N47" s="233">
        <f>M47</f>
        <v>31.71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536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2.4900000000000002</v>
      </c>
      <c r="H54" s="232">
        <v>0.1</v>
      </c>
      <c r="I54" s="232"/>
      <c r="J54" s="232"/>
      <c r="K54" s="232"/>
      <c r="L54" s="232"/>
      <c r="M54" s="232">
        <f>ROUND(G54*H54*D54,2)</f>
        <v>0.5</v>
      </c>
      <c r="N54" s="248">
        <f>M54</f>
        <v>0.5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34.86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2.4900000000000002</v>
      </c>
      <c r="H61" s="232"/>
      <c r="I61" s="232">
        <v>7</v>
      </c>
      <c r="J61" s="232"/>
      <c r="K61" s="232"/>
      <c r="L61" s="232"/>
      <c r="M61" s="232">
        <f>ROUND(G61*I61*D61,2)</f>
        <v>34.86</v>
      </c>
      <c r="N61" s="248">
        <f>M61</f>
        <v>34.86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216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18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216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64.319999999999993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12</v>
      </c>
      <c r="E71" s="231">
        <v>5.36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64.319999999999993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472.1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17</v>
      </c>
      <c r="E75" s="231">
        <f>J3+(0.15+0.15)</f>
        <v>25.3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430.1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14</v>
      </c>
      <c r="E76" s="231">
        <f>E65</f>
        <v>3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42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75.900000000000006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25.3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50.6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25.3</v>
      </c>
      <c r="F85" s="231">
        <f>E76</f>
        <v>3</v>
      </c>
      <c r="G85" s="244">
        <f>ROUND(E85*F85,2)</f>
        <v>75.900000000000006</v>
      </c>
      <c r="H85" s="244"/>
      <c r="I85" s="244"/>
      <c r="J85" s="244"/>
      <c r="K85" s="244"/>
      <c r="L85" s="244"/>
      <c r="M85" s="232"/>
      <c r="N85" s="233">
        <f>G85</f>
        <v>75.900000000000006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" right="0.5" top="1" bottom="1" header="0.5" footer="0.5"/>
  <pageSetup paperSize="9" scale="47" fitToHeight="0" orientation="portrait" r:id="rId1"/>
  <headerFooter>
    <oddHeader>&amp;L &amp;C &amp;R</oddHeader>
    <oddFooter>&amp;L &amp;C
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98"/>
  <sheetViews>
    <sheetView showOutlineSymbols="0" showWhiteSpace="0" view="pageBreakPreview" zoomScale="80" zoomScaleNormal="100" zoomScaleSheetLayoutView="80" workbookViewId="0">
      <selection activeCell="A3" sqref="A3:I3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6" style="110" bestFit="1" customWidth="1"/>
    <col min="11" max="11" width="14.44140625" style="110" bestFit="1" customWidth="1"/>
    <col min="12" max="16384" width="8.88671875" style="110"/>
  </cols>
  <sheetData>
    <row r="1" spans="1:12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2" ht="79.95" customHeight="1">
      <c r="A2" s="273"/>
      <c r="B2" s="211"/>
      <c r="C2" s="478" t="s">
        <v>1102</v>
      </c>
      <c r="D2" s="478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2" ht="19.95" customHeight="1">
      <c r="A3" s="494" t="s">
        <v>1108</v>
      </c>
      <c r="B3" s="495"/>
      <c r="C3" s="495"/>
      <c r="D3" s="495"/>
      <c r="E3" s="495"/>
      <c r="F3" s="495"/>
      <c r="G3" s="495"/>
      <c r="H3" s="495"/>
      <c r="I3" s="495"/>
    </row>
    <row r="4" spans="1:12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2" s="334" customFormat="1" ht="33" customHeight="1">
      <c r="A5" s="330" t="s">
        <v>73</v>
      </c>
      <c r="B5" s="330"/>
      <c r="C5" s="330"/>
      <c r="D5" s="330" t="s">
        <v>430</v>
      </c>
      <c r="E5" s="330"/>
      <c r="F5" s="331"/>
      <c r="G5" s="332"/>
      <c r="H5" s="332"/>
      <c r="I5" s="333">
        <f>SUM(I6:I9)</f>
        <v>220232.01</v>
      </c>
    </row>
    <row r="6" spans="1:12" ht="24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392</v>
      </c>
      <c r="F6" s="241">
        <f>'MC - Serviços Preliminares'!N14</f>
        <v>3</v>
      </c>
      <c r="G6" s="271">
        <f>CPUs!H5</f>
        <v>31154.199999999997</v>
      </c>
      <c r="H6" s="271">
        <f>ROUND(G6*(100%+$G$2),2)</f>
        <v>38702.86</v>
      </c>
      <c r="I6" s="271">
        <f>ROUND(H6*F6,2)</f>
        <v>116108.58</v>
      </c>
      <c r="J6" s="325">
        <f>I6/'Resumo do Orçamento'!$J$21</f>
        <v>1.9297948437617923E-2</v>
      </c>
      <c r="L6" s="110" t="s">
        <v>826</v>
      </c>
    </row>
    <row r="7" spans="1:12" ht="39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Serviços Preliminares'!N16</f>
        <v>18</v>
      </c>
      <c r="G7" s="271">
        <v>999.1</v>
      </c>
      <c r="H7" s="271">
        <f>ROUND(G7*(100%+$G$2),2)</f>
        <v>1241.18</v>
      </c>
      <c r="I7" s="271">
        <f>ROUND(H7*F7,2)</f>
        <v>22341.24</v>
      </c>
      <c r="J7" s="325">
        <f>I7/'Resumo do Orçamento'!$J$21</f>
        <v>3.7132492495597401E-3</v>
      </c>
    </row>
    <row r="8" spans="1:12" ht="24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Serviços Preliminares'!N18</f>
        <v>13.5</v>
      </c>
      <c r="G8" s="271">
        <f>CPUs!H11</f>
        <v>421.99</v>
      </c>
      <c r="H8" s="271">
        <f>ROUND(G8*(100%+$G$2),2)</f>
        <v>524.24</v>
      </c>
      <c r="I8" s="271">
        <f>ROUND(H8*F8,2)</f>
        <v>7077.24</v>
      </c>
      <c r="J8" s="325">
        <f>I8/'Resumo do Orçamento'!$J$21</f>
        <v>1.1762801043699533E-3</v>
      </c>
    </row>
    <row r="9" spans="1:12" ht="25.95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Serviços Preliminares'!N20</f>
        <v>1</v>
      </c>
      <c r="G9" s="271">
        <f>CPUs!H21</f>
        <v>60134.39</v>
      </c>
      <c r="H9" s="271">
        <f>ROUND(G9*(100%+$G$2),2)</f>
        <v>74704.95</v>
      </c>
      <c r="I9" s="271">
        <f>ROUND(H9*F9,2)</f>
        <v>74704.95</v>
      </c>
      <c r="J9" s="325">
        <f>I9/'Resumo do Orçamento'!$J$21</f>
        <v>1.241641464510913E-2</v>
      </c>
      <c r="L9" s="110" t="s">
        <v>823</v>
      </c>
    </row>
    <row r="10" spans="1:12">
      <c r="A10" s="212"/>
      <c r="B10" s="212"/>
      <c r="C10" s="212"/>
      <c r="D10" s="212"/>
      <c r="E10" s="212"/>
      <c r="F10" s="212"/>
      <c r="G10" s="212"/>
      <c r="H10" s="212"/>
      <c r="I10" s="212"/>
    </row>
    <row r="11" spans="1:12" ht="31.2">
      <c r="A11" s="488"/>
      <c r="B11" s="488"/>
      <c r="C11" s="488"/>
      <c r="D11" s="213"/>
      <c r="E11" s="214"/>
      <c r="F11" s="491"/>
      <c r="G11" s="488"/>
      <c r="H11" s="268" t="s">
        <v>443</v>
      </c>
      <c r="I11" s="272">
        <f>I5</f>
        <v>220232.01</v>
      </c>
    </row>
    <row r="12" spans="1:12">
      <c r="A12" s="488"/>
      <c r="B12" s="488"/>
      <c r="C12" s="488"/>
      <c r="D12" s="213"/>
      <c r="E12" s="214"/>
      <c r="F12" s="491"/>
      <c r="G12" s="488"/>
      <c r="H12" s="487"/>
      <c r="I12" s="488"/>
    </row>
    <row r="13" spans="1:12">
      <c r="A13" s="488"/>
      <c r="B13" s="488"/>
      <c r="C13" s="488"/>
      <c r="D13" s="213"/>
      <c r="E13" s="214"/>
      <c r="F13" s="491"/>
      <c r="G13" s="488"/>
      <c r="H13" s="487"/>
      <c r="I13" s="488"/>
    </row>
    <row r="14" spans="1:12" ht="60" customHeight="1">
      <c r="A14" s="215"/>
      <c r="B14" s="215"/>
      <c r="C14" s="215"/>
      <c r="D14" s="215"/>
      <c r="E14" s="215"/>
      <c r="F14" s="215"/>
      <c r="G14" s="215"/>
      <c r="H14" s="215"/>
      <c r="I14" s="487">
        <v>1300959.8600000001</v>
      </c>
      <c r="J14" s="488"/>
    </row>
    <row r="15" spans="1:12" ht="70.2" customHeight="1">
      <c r="A15" s="489" t="s">
        <v>378</v>
      </c>
      <c r="B15" s="490"/>
      <c r="C15" s="490"/>
      <c r="D15" s="490"/>
      <c r="E15" s="490"/>
      <c r="F15" s="490"/>
      <c r="G15" s="490"/>
      <c r="H15" s="490"/>
      <c r="I15" s="490"/>
    </row>
    <row r="61" spans="2:7">
      <c r="B61" s="110" t="s">
        <v>879</v>
      </c>
      <c r="F61" s="110">
        <f>0.06756</f>
        <v>6.7559999999999995E-2</v>
      </c>
      <c r="G61" s="110">
        <v>5500</v>
      </c>
    </row>
    <row r="69" spans="2:7">
      <c r="B69" s="110" t="s">
        <v>879</v>
      </c>
      <c r="F69" s="110">
        <f>0.06756*2</f>
        <v>0.13511999999999999</v>
      </c>
      <c r="G69" s="110">
        <v>5500</v>
      </c>
    </row>
    <row r="98" spans="2:9">
      <c r="B98" s="110" t="s">
        <v>879</v>
      </c>
      <c r="G98" s="110">
        <v>5500</v>
      </c>
      <c r="I98" s="110">
        <f>1000*5.5</f>
        <v>5500</v>
      </c>
    </row>
  </sheetData>
  <mergeCells count="16">
    <mergeCell ref="A11:C11"/>
    <mergeCell ref="F11:G11"/>
    <mergeCell ref="E1:F1"/>
    <mergeCell ref="G1:H1"/>
    <mergeCell ref="E2:F2"/>
    <mergeCell ref="G2:H2"/>
    <mergeCell ref="A3:I3"/>
    <mergeCell ref="C2:D2"/>
    <mergeCell ref="I14:J14"/>
    <mergeCell ref="A15:I15"/>
    <mergeCell ref="A12:C12"/>
    <mergeCell ref="F12:G12"/>
    <mergeCell ref="H12:I12"/>
    <mergeCell ref="A13:C13"/>
    <mergeCell ref="F13:G13"/>
    <mergeCell ref="H13:I13"/>
  </mergeCells>
  <pageMargins left="0.51181102362204722" right="0.51181102362204722" top="0.98425196850393704" bottom="0.98425196850393704" header="0.51181102362204722" footer="0.51181102362204722"/>
  <pageSetup paperSize="9" scale="77" fitToHeight="0" orientation="landscape" r:id="rId1"/>
  <headerFooter>
    <oddHeader>&amp;L &amp;C Prefeitura Municipal de Barreirinhas
CNPJ: 06.217.954/0001-37
 Av. Joaquim Soeiro de Carvalho, 533, Barreirinhas/MA, CEP 65590-000</oddHeader>
    <oddFooter>&amp;L &amp;C
 &amp;R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FF00"/>
    <pageSetUpPr fitToPage="1"/>
  </sheetPr>
  <dimension ref="A1:P40"/>
  <sheetViews>
    <sheetView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5.88671875" style="110" bestFit="1" customWidth="1"/>
    <col min="11" max="11" width="14.664062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848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531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>
        <f>'MC - Anibal'!N14</f>
        <v>0</v>
      </c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Anibal'!N16</f>
        <v>0</v>
      </c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Anibal'!N18</f>
        <v>0</v>
      </c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Anibal'!N20</f>
        <v>0</v>
      </c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5.95" customHeight="1">
      <c r="A10" s="330">
        <v>9</v>
      </c>
      <c r="B10" s="330"/>
      <c r="C10" s="330"/>
      <c r="D10" s="330" t="s">
        <v>849</v>
      </c>
      <c r="E10" s="330"/>
      <c r="F10" s="335"/>
      <c r="G10" s="332"/>
      <c r="H10" s="332"/>
      <c r="I10" s="333">
        <f>I11+I18+I24+I30+I35</f>
        <v>564687.93000000005</v>
      </c>
      <c r="J10" s="341">
        <v>902124.85</v>
      </c>
      <c r="K10" s="340">
        <f>J10-I10</f>
        <v>337436.91999999993</v>
      </c>
    </row>
    <row r="11" spans="1:11" s="334" customFormat="1" ht="24" customHeight="1">
      <c r="A11" s="330" t="s">
        <v>769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3477.57</v>
      </c>
    </row>
    <row r="12" spans="1:11" ht="39" customHeight="1">
      <c r="A12" s="237" t="s">
        <v>770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Anibal'!N24</f>
        <v>9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1226.6099999999999</v>
      </c>
    </row>
    <row r="13" spans="1:11" ht="25.95" customHeight="1">
      <c r="A13" s="237" t="s">
        <v>771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Anibal'!N26</f>
        <v>19.3</v>
      </c>
      <c r="G13" s="271">
        <v>2.66</v>
      </c>
      <c r="H13" s="271">
        <f t="shared" si="0"/>
        <v>3.3</v>
      </c>
      <c r="I13" s="271">
        <f t="shared" si="1"/>
        <v>63.69</v>
      </c>
    </row>
    <row r="14" spans="1:11" ht="52.2" customHeight="1">
      <c r="A14" s="237" t="s">
        <v>772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Anibal'!N28</f>
        <v>13.68</v>
      </c>
      <c r="G14" s="271">
        <v>8.5299999999999994</v>
      </c>
      <c r="H14" s="271">
        <f t="shared" si="0"/>
        <v>10.6</v>
      </c>
      <c r="I14" s="271">
        <f t="shared" si="1"/>
        <v>145.01</v>
      </c>
    </row>
    <row r="15" spans="1:11" ht="39" customHeight="1">
      <c r="A15" s="237" t="s">
        <v>773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Anibal'!N30</f>
        <v>136.80000000000001</v>
      </c>
      <c r="G15" s="271">
        <v>2.93</v>
      </c>
      <c r="H15" s="271">
        <f t="shared" si="0"/>
        <v>3.64</v>
      </c>
      <c r="I15" s="271">
        <f t="shared" si="1"/>
        <v>497.95</v>
      </c>
    </row>
    <row r="16" spans="1:11" ht="25.95" customHeight="1">
      <c r="A16" s="237" t="s">
        <v>774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Anibal'!N32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5.95" customHeight="1">
      <c r="A17" s="237" t="s">
        <v>775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Anibal'!N34</f>
        <v>45</v>
      </c>
      <c r="G17" s="271">
        <f>CPUs!H37</f>
        <v>26.78</v>
      </c>
      <c r="H17" s="271">
        <f t="shared" si="0"/>
        <v>33.270000000000003</v>
      </c>
      <c r="I17" s="271">
        <f t="shared" si="1"/>
        <v>1497.15</v>
      </c>
    </row>
    <row r="18" spans="1:16" s="334" customFormat="1" ht="24" customHeight="1">
      <c r="A18" s="330" t="s">
        <v>776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8173.9000000000005</v>
      </c>
    </row>
    <row r="19" spans="1:16" ht="52.2" customHeight="1">
      <c r="A19" s="237" t="s">
        <v>777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Anibal'!N37</f>
        <v>42.15</v>
      </c>
      <c r="G19" s="271">
        <v>14.96</v>
      </c>
      <c r="H19" s="271">
        <f t="shared" si="0"/>
        <v>18.579999999999998</v>
      </c>
      <c r="I19" s="271">
        <f>ROUND(H19*F19,2)</f>
        <v>783.15</v>
      </c>
    </row>
    <row r="20" spans="1:16" ht="39" customHeight="1">
      <c r="A20" s="237" t="s">
        <v>778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Anibal'!N41</f>
        <v>484.73</v>
      </c>
      <c r="G20" s="271">
        <v>2.93</v>
      </c>
      <c r="H20" s="271">
        <f t="shared" si="0"/>
        <v>3.64</v>
      </c>
      <c r="I20" s="271">
        <f>ROUND(H20*F20,2)</f>
        <v>1764.42</v>
      </c>
    </row>
    <row r="21" spans="1:16" ht="25.95" customHeight="1">
      <c r="A21" s="237" t="s">
        <v>779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Anibal'!N43</f>
        <v>31.71</v>
      </c>
      <c r="G21" s="271">
        <v>82.09</v>
      </c>
      <c r="H21" s="271">
        <f t="shared" si="0"/>
        <v>101.98</v>
      </c>
      <c r="I21" s="271">
        <f>ROUND(H21*F21,2)</f>
        <v>3233.79</v>
      </c>
    </row>
    <row r="22" spans="1:16" ht="39" customHeight="1">
      <c r="A22" s="237" t="s">
        <v>780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Anibal'!N45</f>
        <v>364.67</v>
      </c>
      <c r="G22" s="271">
        <v>2.93</v>
      </c>
      <c r="H22" s="271">
        <f t="shared" si="0"/>
        <v>3.64</v>
      </c>
      <c r="I22" s="271">
        <f>ROUND(H22*F22,2)</f>
        <v>1327.4</v>
      </c>
    </row>
    <row r="23" spans="1:16" ht="25.95" customHeight="1">
      <c r="A23" s="237" t="s">
        <v>781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Anibal'!N47</f>
        <v>31.71</v>
      </c>
      <c r="G23" s="271">
        <v>27.04</v>
      </c>
      <c r="H23" s="271">
        <f t="shared" si="0"/>
        <v>33.590000000000003</v>
      </c>
      <c r="I23" s="271">
        <f>ROUND(H23*F23,2)</f>
        <v>1065.1400000000001</v>
      </c>
    </row>
    <row r="24" spans="1:16" s="334" customFormat="1" ht="31.2" customHeight="1">
      <c r="A24" s="330" t="s">
        <v>782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307067.60000000003</v>
      </c>
    </row>
    <row r="25" spans="1:16" ht="39" customHeight="1">
      <c r="A25" s="237" t="s">
        <v>783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Anibal'!N50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784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Anibal'!N53</f>
        <v>0.5</v>
      </c>
      <c r="G26" s="271">
        <v>581.69000000000005</v>
      </c>
      <c r="H26" s="271">
        <f t="shared" si="2"/>
        <v>722.63</v>
      </c>
      <c r="I26" s="271">
        <f>ROUND(H26*F26,2)</f>
        <v>361.32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785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Anibal'!N60</f>
        <v>34.86</v>
      </c>
      <c r="G27" s="271">
        <v>3843.08</v>
      </c>
      <c r="H27" s="271">
        <f t="shared" si="0"/>
        <v>4774.26</v>
      </c>
      <c r="I27" s="271">
        <f>ROUND(H27*F27,2)</f>
        <v>166430.70000000001</v>
      </c>
    </row>
    <row r="28" spans="1:16" ht="39" customHeight="1">
      <c r="A28" s="237" t="s">
        <v>786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Anibal'!N67</f>
        <v>108</v>
      </c>
      <c r="G28" s="271">
        <f>CPUs!H66</f>
        <v>780.37999999999988</v>
      </c>
      <c r="H28" s="271">
        <f t="shared" si="0"/>
        <v>969.47</v>
      </c>
      <c r="I28" s="271">
        <f>ROUND(H28*F28,2)</f>
        <v>104702.76</v>
      </c>
    </row>
    <row r="29" spans="1:16" ht="24" customHeight="1">
      <c r="A29" s="237" t="s">
        <v>787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Anibal'!N70</f>
        <v>32.159999999999997</v>
      </c>
      <c r="G29" s="271">
        <f>CPUs!H74</f>
        <v>890.38</v>
      </c>
      <c r="H29" s="271">
        <f t="shared" si="0"/>
        <v>1106.1199999999999</v>
      </c>
      <c r="I29" s="271">
        <f>ROUND(H29*F29,2)</f>
        <v>35572.82</v>
      </c>
    </row>
    <row r="30" spans="1:16" s="334" customFormat="1" ht="24" customHeight="1">
      <c r="A30" s="330" t="s">
        <v>788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245551.77</v>
      </c>
    </row>
    <row r="31" spans="1:16" ht="26.4" customHeight="1">
      <c r="A31" s="237" t="s">
        <v>789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Anibal'!N74</f>
        <v>284.10000000000002</v>
      </c>
      <c r="G31" s="271">
        <f>CPUs!H90</f>
        <v>537.33000000000004</v>
      </c>
      <c r="H31" s="271">
        <f t="shared" si="0"/>
        <v>667.53</v>
      </c>
      <c r="I31" s="271">
        <f>ROUND(H31*F31,2)</f>
        <v>189645.27</v>
      </c>
    </row>
    <row r="32" spans="1:16" ht="36.6" customHeight="1">
      <c r="A32" s="237" t="s">
        <v>790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Anibal'!N78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66" hidden="1">
      <c r="A33" s="237" t="s">
        <v>791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Anibal'!N80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792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Anibal'!N82</f>
        <v>30.6</v>
      </c>
      <c r="G34" s="271">
        <f>CPUs!H124</f>
        <v>1256.7800000000002</v>
      </c>
      <c r="H34" s="271">
        <f t="shared" si="0"/>
        <v>1561.3</v>
      </c>
      <c r="I34" s="271">
        <f>ROUND(H34*F34,2)</f>
        <v>47775.78</v>
      </c>
    </row>
    <row r="35" spans="1:10" s="334" customFormat="1" ht="18.600000000000001" customHeight="1">
      <c r="A35" s="330" t="s">
        <v>793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417.09</v>
      </c>
    </row>
    <row r="36" spans="1:10">
      <c r="A36" s="237" t="s">
        <v>794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Anibal'!N85</f>
        <v>45.9</v>
      </c>
      <c r="G36" s="271">
        <v>1.71</v>
      </c>
      <c r="H36" s="271">
        <f t="shared" ref="H36" si="3">ROUND(G36*(100%+$G$2),2)</f>
        <v>2.12</v>
      </c>
      <c r="I36" s="271">
        <f>ROUND(H36*F36,2)</f>
        <v>97.31</v>
      </c>
    </row>
    <row r="37" spans="1:10">
      <c r="A37" s="237" t="s">
        <v>795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564687.92999999993</v>
      </c>
      <c r="J39" s="324"/>
    </row>
    <row r="40" spans="1:10" ht="70.2" customHeight="1">
      <c r="A40" s="489" t="s">
        <v>378</v>
      </c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A38:C38"/>
    <mergeCell ref="F38:G38"/>
    <mergeCell ref="H38:I38"/>
    <mergeCell ref="E1:F1"/>
    <mergeCell ref="G1:H1"/>
    <mergeCell ref="E2:F2"/>
    <mergeCell ref="G2:H2"/>
    <mergeCell ref="A3:I3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FF00"/>
    <pageSetUpPr fitToPage="1"/>
  </sheetPr>
  <dimension ref="A1:X92"/>
  <sheetViews>
    <sheetView showGridLines="0"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9.109375" style="110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532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15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556</v>
      </c>
      <c r="Q6" s="219">
        <f>17/4</f>
        <v>4.25</v>
      </c>
      <c r="R6" s="258">
        <v>4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R14-1</f>
        <v>3</v>
      </c>
      <c r="K7" s="222" t="s">
        <v>392</v>
      </c>
      <c r="L7" s="220" t="s">
        <v>540</v>
      </c>
      <c r="M7" s="219">
        <f>3*J7</f>
        <v>9</v>
      </c>
      <c r="N7" s="220" t="s">
        <v>541</v>
      </c>
      <c r="P7" s="298" t="s">
        <v>513</v>
      </c>
      <c r="Q7" s="219">
        <f>17/4</f>
        <v>4.25</v>
      </c>
      <c r="R7" s="258">
        <v>4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514</v>
      </c>
      <c r="Q8" s="219">
        <f>19/4</f>
        <v>4.75</v>
      </c>
      <c r="R8" s="258">
        <v>4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9.7/4</f>
        <v>2.4249999999999998</v>
      </c>
      <c r="R12" s="258">
        <v>2</v>
      </c>
      <c r="S12" s="259" t="s">
        <v>417</v>
      </c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4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 t="s">
        <v>361</v>
      </c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15</v>
      </c>
      <c r="F24" s="231">
        <f>J4</f>
        <v>3</v>
      </c>
      <c r="G24" s="232">
        <f>ROUND(E24*F24,2)</f>
        <v>45</v>
      </c>
      <c r="H24" s="232">
        <v>0.2</v>
      </c>
      <c r="I24" s="232"/>
      <c r="J24" s="232"/>
      <c r="K24" s="232"/>
      <c r="L24" s="232"/>
      <c r="M24" s="232">
        <f>G24*H24</f>
        <v>9</v>
      </c>
      <c r="N24" s="233">
        <f>M24</f>
        <v>9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9.65</v>
      </c>
      <c r="H26" s="257"/>
      <c r="I26" s="244"/>
      <c r="J26" s="244"/>
      <c r="K26" s="244"/>
      <c r="L26" s="244"/>
      <c r="M26" s="232"/>
      <c r="N26" s="233">
        <f>ROUND(G26*D26,2)</f>
        <v>19.3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19.3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9</v>
      </c>
      <c r="N28" s="233">
        <f>ROUND((G28*H28*K28)+(M28*K28),2)</f>
        <v>13.68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13.68</v>
      </c>
      <c r="N30" s="233">
        <f>ROUND(M30*L30,2)</f>
        <v>136.80000000000001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15</v>
      </c>
      <c r="F34" s="231">
        <f>F24</f>
        <v>3</v>
      </c>
      <c r="G34" s="244">
        <f>ROUND(E34*F34,2)</f>
        <v>45</v>
      </c>
      <c r="H34" s="244"/>
      <c r="I34" s="244"/>
      <c r="J34" s="244"/>
      <c r="K34" s="244"/>
      <c r="L34" s="244"/>
      <c r="M34" s="232"/>
      <c r="N34" s="233">
        <f>G34</f>
        <v>45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42.15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8.43</v>
      </c>
      <c r="H38" s="232"/>
      <c r="I38" s="232">
        <f>1+1.5</f>
        <v>2.5</v>
      </c>
      <c r="J38" s="232"/>
      <c r="K38" s="232"/>
      <c r="L38" s="232"/>
      <c r="M38" s="232">
        <f>ROUND(G38*I38*D38,2)</f>
        <v>42.15</v>
      </c>
      <c r="N38" s="248">
        <f>M38</f>
        <v>42.15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3.3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42.15</v>
      </c>
      <c r="N41" s="233">
        <f>ROUND(K41*M41*L41,2)</f>
        <v>484.73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4.53</v>
      </c>
      <c r="H43" s="244"/>
      <c r="I43" s="244">
        <f>J9-I38</f>
        <v>3.5</v>
      </c>
      <c r="J43" s="244"/>
      <c r="K43" s="244"/>
      <c r="L43" s="244"/>
      <c r="M43" s="232">
        <f>ROUND(G43*I43*D43,2)</f>
        <v>31.71</v>
      </c>
      <c r="N43" s="233">
        <f>M43</f>
        <v>31.71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31.71</v>
      </c>
      <c r="N45" s="233">
        <f>ROUND(M45*K45*L45,2)</f>
        <v>364.67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31.71</v>
      </c>
      <c r="N47" s="233">
        <f>M47</f>
        <v>31.71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536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2.4900000000000002</v>
      </c>
      <c r="H54" s="232">
        <v>0.1</v>
      </c>
      <c r="I54" s="232"/>
      <c r="J54" s="232"/>
      <c r="K54" s="232"/>
      <c r="L54" s="232"/>
      <c r="M54" s="232">
        <f>ROUND(G54*H54*D54,2)</f>
        <v>0.5</v>
      </c>
      <c r="N54" s="248">
        <f>M54</f>
        <v>0.5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34.86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2.4900000000000002</v>
      </c>
      <c r="H61" s="232"/>
      <c r="I61" s="232">
        <v>7</v>
      </c>
      <c r="J61" s="232"/>
      <c r="K61" s="232"/>
      <c r="L61" s="232"/>
      <c r="M61" s="232">
        <f>ROUND(G61*I61*D61,2)</f>
        <v>34.86</v>
      </c>
      <c r="N61" s="248">
        <f>M61</f>
        <v>34.86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108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9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108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32.159999999999997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6</v>
      </c>
      <c r="E71" s="231">
        <v>5.36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32.159999999999997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284.10000000000002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17</v>
      </c>
      <c r="E75" s="231">
        <f>J3+(0.15+0.15)</f>
        <v>15.3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260.10000000000002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8</v>
      </c>
      <c r="E76" s="231">
        <f>E65</f>
        <v>3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24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45.9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15.3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30.6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15.3</v>
      </c>
      <c r="F85" s="231">
        <f>E76</f>
        <v>3</v>
      </c>
      <c r="G85" s="244">
        <f>ROUND(E85*F85,2)</f>
        <v>45.9</v>
      </c>
      <c r="H85" s="244"/>
      <c r="I85" s="244"/>
      <c r="J85" s="244"/>
      <c r="K85" s="244"/>
      <c r="L85" s="244"/>
      <c r="M85" s="232"/>
      <c r="N85" s="233">
        <f>G85</f>
        <v>45.9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" right="0.5" top="1" bottom="1" header="0.5" footer="0.5"/>
  <pageSetup paperSize="9" scale="47" fitToHeight="0" orientation="portrait" r:id="rId1"/>
  <headerFooter>
    <oddHeader>&amp;L &amp;C &amp;R</oddHeader>
    <oddFooter>&amp;L &amp;C
 &amp;R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 tint="-0.249977111117893"/>
    <pageSetUpPr fitToPage="1"/>
  </sheetPr>
  <dimension ref="A1:P40"/>
  <sheetViews>
    <sheetView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7.6640625" style="110" bestFit="1" customWidth="1"/>
    <col min="11" max="11" width="15.8867187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850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559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 customHeight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>
        <f>'MC - Anibal'!N14</f>
        <v>0</v>
      </c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Anibal'!N16</f>
        <v>0</v>
      </c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Anibal'!N18</f>
        <v>0</v>
      </c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Anibal'!N20</f>
        <v>0</v>
      </c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5.95" customHeight="1">
      <c r="A10" s="330">
        <v>10</v>
      </c>
      <c r="B10" s="330"/>
      <c r="C10" s="330"/>
      <c r="D10" s="330" t="s">
        <v>851</v>
      </c>
      <c r="E10" s="330"/>
      <c r="F10" s="335"/>
      <c r="G10" s="332"/>
      <c r="H10" s="332"/>
      <c r="I10" s="333">
        <f>I11+I18+I24+I30+I35</f>
        <v>739670.25999999989</v>
      </c>
      <c r="J10" s="341">
        <v>1225787.6000000001</v>
      </c>
      <c r="K10" s="340">
        <f>J10-I10</f>
        <v>486117.3400000002</v>
      </c>
    </row>
    <row r="11" spans="1:11" s="334" customFormat="1" ht="24" customHeight="1">
      <c r="A11" s="330" t="s">
        <v>796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4547.6399999999994</v>
      </c>
    </row>
    <row r="12" spans="1:11" ht="39" customHeight="1">
      <c r="A12" s="237" t="s">
        <v>797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Massagano I'!N24</f>
        <v>12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1635.48</v>
      </c>
    </row>
    <row r="13" spans="1:11" ht="25.95" customHeight="1">
      <c r="A13" s="237" t="s">
        <v>798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Massagano I'!N26</f>
        <v>19.3</v>
      </c>
      <c r="G13" s="271">
        <v>2.66</v>
      </c>
      <c r="H13" s="271">
        <f t="shared" si="0"/>
        <v>3.3</v>
      </c>
      <c r="I13" s="271">
        <f t="shared" si="1"/>
        <v>63.69</v>
      </c>
    </row>
    <row r="14" spans="1:11" ht="52.2" customHeight="1">
      <c r="A14" s="237" t="s">
        <v>799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Massagano I'!N28</f>
        <v>17.13</v>
      </c>
      <c r="G14" s="271">
        <v>8.5299999999999994</v>
      </c>
      <c r="H14" s="271">
        <f t="shared" si="0"/>
        <v>10.6</v>
      </c>
      <c r="I14" s="271">
        <f t="shared" si="1"/>
        <v>181.58</v>
      </c>
    </row>
    <row r="15" spans="1:11" ht="39" customHeight="1">
      <c r="A15" s="237" t="s">
        <v>800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Massagano I'!N30</f>
        <v>171.3</v>
      </c>
      <c r="G15" s="271">
        <v>2.93</v>
      </c>
      <c r="H15" s="271">
        <f t="shared" si="0"/>
        <v>3.64</v>
      </c>
      <c r="I15" s="271">
        <f t="shared" si="1"/>
        <v>623.53</v>
      </c>
    </row>
    <row r="16" spans="1:11" ht="25.95" customHeight="1">
      <c r="A16" s="237" t="s">
        <v>801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Massagano I'!N32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5.95" customHeight="1">
      <c r="A17" s="237" t="s">
        <v>802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Massagano I'!N34</f>
        <v>60</v>
      </c>
      <c r="G17" s="271">
        <f>CPUs!H37</f>
        <v>26.78</v>
      </c>
      <c r="H17" s="271">
        <f t="shared" si="0"/>
        <v>33.270000000000003</v>
      </c>
      <c r="I17" s="271">
        <f t="shared" si="1"/>
        <v>1996.2</v>
      </c>
    </row>
    <row r="18" spans="1:16" s="334" customFormat="1" ht="24" customHeight="1">
      <c r="A18" s="330" t="s">
        <v>803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8173.9000000000005</v>
      </c>
    </row>
    <row r="19" spans="1:16" ht="52.2" customHeight="1">
      <c r="A19" s="237" t="s">
        <v>804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Massagano I'!N37</f>
        <v>42.15</v>
      </c>
      <c r="G19" s="271">
        <v>14.96</v>
      </c>
      <c r="H19" s="271">
        <f t="shared" si="0"/>
        <v>18.579999999999998</v>
      </c>
      <c r="I19" s="271">
        <f>ROUND(H19*F19,2)</f>
        <v>783.15</v>
      </c>
    </row>
    <row r="20" spans="1:16" ht="39" customHeight="1">
      <c r="A20" s="237" t="s">
        <v>805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Massagano I'!N41</f>
        <v>484.73</v>
      </c>
      <c r="G20" s="271">
        <v>2.93</v>
      </c>
      <c r="H20" s="271">
        <f t="shared" si="0"/>
        <v>3.64</v>
      </c>
      <c r="I20" s="271">
        <f>ROUND(H20*F20,2)</f>
        <v>1764.42</v>
      </c>
    </row>
    <row r="21" spans="1:16" ht="25.95" customHeight="1">
      <c r="A21" s="237" t="s">
        <v>806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Massagano I'!N43</f>
        <v>31.71</v>
      </c>
      <c r="G21" s="271">
        <v>82.09</v>
      </c>
      <c r="H21" s="271">
        <f t="shared" si="0"/>
        <v>101.98</v>
      </c>
      <c r="I21" s="271">
        <f>ROUND(H21*F21,2)</f>
        <v>3233.79</v>
      </c>
    </row>
    <row r="22" spans="1:16" ht="39" customHeight="1">
      <c r="A22" s="237" t="s">
        <v>807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Massagano I'!N45</f>
        <v>364.67</v>
      </c>
      <c r="G22" s="271">
        <v>2.93</v>
      </c>
      <c r="H22" s="271">
        <f t="shared" si="0"/>
        <v>3.64</v>
      </c>
      <c r="I22" s="271">
        <f>ROUND(H22*F22,2)</f>
        <v>1327.4</v>
      </c>
    </row>
    <row r="23" spans="1:16" ht="25.95" customHeight="1">
      <c r="A23" s="237" t="s">
        <v>808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Massagano I'!N47</f>
        <v>31.71</v>
      </c>
      <c r="G23" s="271">
        <v>27.04</v>
      </c>
      <c r="H23" s="271">
        <f t="shared" si="0"/>
        <v>33.590000000000003</v>
      </c>
      <c r="I23" s="271">
        <f>ROUND(H23*F23,2)</f>
        <v>1065.1400000000001</v>
      </c>
    </row>
    <row r="24" spans="1:16" s="334" customFormat="1" ht="31.2" customHeight="1">
      <c r="A24" s="330" t="s">
        <v>809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400584.65</v>
      </c>
    </row>
    <row r="25" spans="1:16" ht="39" customHeight="1">
      <c r="A25" s="237" t="s">
        <v>810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Massagano I'!N50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811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Massagano I'!N53</f>
        <v>0.5</v>
      </c>
      <c r="G26" s="271">
        <v>581.69000000000005</v>
      </c>
      <c r="H26" s="271">
        <f t="shared" si="2"/>
        <v>722.63</v>
      </c>
      <c r="I26" s="271">
        <f>ROUND(H26*F26,2)</f>
        <v>361.32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812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Massagano I'!N60</f>
        <v>34.86</v>
      </c>
      <c r="G27" s="271">
        <v>3843.08</v>
      </c>
      <c r="H27" s="271">
        <f t="shared" si="0"/>
        <v>4774.26</v>
      </c>
      <c r="I27" s="271">
        <f>ROUND(H27*F27,2)</f>
        <v>166430.70000000001</v>
      </c>
    </row>
    <row r="28" spans="1:16" ht="39" customHeight="1">
      <c r="A28" s="237" t="s">
        <v>813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Massagano I'!N67</f>
        <v>180</v>
      </c>
      <c r="G28" s="271">
        <f>CPUs!H66</f>
        <v>780.37999999999988</v>
      </c>
      <c r="H28" s="271">
        <f t="shared" si="0"/>
        <v>969.47</v>
      </c>
      <c r="I28" s="271">
        <f>ROUND(H28*F28,2)</f>
        <v>174504.6</v>
      </c>
    </row>
    <row r="29" spans="1:16" ht="24" customHeight="1">
      <c r="A29" s="237" t="s">
        <v>814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Massagano I'!N70</f>
        <v>53.6</v>
      </c>
      <c r="G29" s="271">
        <f>CPUs!H74</f>
        <v>890.38</v>
      </c>
      <c r="H29" s="271">
        <f t="shared" si="0"/>
        <v>1106.1199999999999</v>
      </c>
      <c r="I29" s="271">
        <f>ROUND(H29*F29,2)</f>
        <v>59288.03</v>
      </c>
    </row>
    <row r="30" spans="1:16" s="334" customFormat="1" ht="24" customHeight="1">
      <c r="A30" s="330" t="s">
        <v>815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325915.17999999993</v>
      </c>
    </row>
    <row r="31" spans="1:16" ht="28.2" customHeight="1">
      <c r="A31" s="237" t="s">
        <v>816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Massagano I'!N74</f>
        <v>381.1</v>
      </c>
      <c r="G31" s="271">
        <f>CPUs!H90</f>
        <v>537.33000000000004</v>
      </c>
      <c r="H31" s="271">
        <f t="shared" si="0"/>
        <v>667.53</v>
      </c>
      <c r="I31" s="271">
        <f>ROUND(H31*F31,2)</f>
        <v>254395.68</v>
      </c>
    </row>
    <row r="32" spans="1:16" ht="34.950000000000003" customHeight="1">
      <c r="A32" s="237" t="s">
        <v>817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Massagano I'!N78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66" hidden="1">
      <c r="A33" s="237" t="s">
        <v>818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Massagano I'!N80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819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Massagano I'!N82</f>
        <v>40.6</v>
      </c>
      <c r="G34" s="271">
        <f>CPUs!H124</f>
        <v>1256.7800000000002</v>
      </c>
      <c r="H34" s="271">
        <f t="shared" si="0"/>
        <v>1561.3</v>
      </c>
      <c r="I34" s="271">
        <f>ROUND(H34*F34,2)</f>
        <v>63388.78</v>
      </c>
    </row>
    <row r="35" spans="1:10" s="334" customFormat="1" ht="21.6" customHeight="1">
      <c r="A35" s="330" t="s">
        <v>820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448.89</v>
      </c>
    </row>
    <row r="36" spans="1:10">
      <c r="A36" s="237" t="s">
        <v>821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Massagano I'!N85</f>
        <v>60.9</v>
      </c>
      <c r="G36" s="271">
        <v>1.71</v>
      </c>
      <c r="H36" s="271">
        <f t="shared" ref="H36" si="3">ROUND(G36*(100%+$G$2),2)</f>
        <v>2.12</v>
      </c>
      <c r="I36" s="271">
        <f>ROUND(H36*F36,2)</f>
        <v>129.11000000000001</v>
      </c>
    </row>
    <row r="37" spans="1:10">
      <c r="A37" s="237" t="s">
        <v>822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739670.26</v>
      </c>
      <c r="J39" s="324"/>
    </row>
    <row r="40" spans="1:10" ht="70.2" customHeight="1">
      <c r="A40" s="489" t="s">
        <v>378</v>
      </c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A38:C38"/>
    <mergeCell ref="F38:G38"/>
    <mergeCell ref="H38:I38"/>
    <mergeCell ref="E1:F1"/>
    <mergeCell ref="G1:H1"/>
    <mergeCell ref="E2:F2"/>
    <mergeCell ref="G2:H2"/>
    <mergeCell ref="A3:I3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5" tint="-0.249977111117893"/>
    <pageSetUpPr fitToPage="1"/>
  </sheetPr>
  <dimension ref="A1:X92"/>
  <sheetViews>
    <sheetView showGridLines="0"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9.109375" style="110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533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20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556</v>
      </c>
      <c r="Q6" s="219">
        <f>17/4</f>
        <v>4.25</v>
      </c>
      <c r="R6" s="258">
        <v>4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R15-1</f>
        <v>5</v>
      </c>
      <c r="K7" s="222" t="s">
        <v>392</v>
      </c>
      <c r="L7" s="220" t="s">
        <v>540</v>
      </c>
      <c r="M7" s="219">
        <f>3*J7</f>
        <v>15</v>
      </c>
      <c r="N7" s="220" t="s">
        <v>541</v>
      </c>
      <c r="P7" s="298" t="s">
        <v>513</v>
      </c>
      <c r="Q7" s="219">
        <f>17/4</f>
        <v>4.25</v>
      </c>
      <c r="R7" s="258">
        <v>4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514</v>
      </c>
      <c r="Q8" s="219">
        <f>19/4</f>
        <v>4.75</v>
      </c>
      <c r="R8" s="258">
        <v>4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9.7/4</f>
        <v>2.4249999999999998</v>
      </c>
      <c r="R12" s="258">
        <v>2</v>
      </c>
      <c r="S12" s="259" t="s">
        <v>417</v>
      </c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6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 t="s">
        <v>361</v>
      </c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20</v>
      </c>
      <c r="F24" s="231">
        <f>J4</f>
        <v>3</v>
      </c>
      <c r="G24" s="232">
        <f>ROUND(E24*F24,2)</f>
        <v>60</v>
      </c>
      <c r="H24" s="232">
        <v>0.2</v>
      </c>
      <c r="I24" s="232"/>
      <c r="J24" s="232"/>
      <c r="K24" s="232"/>
      <c r="L24" s="232"/>
      <c r="M24" s="232">
        <f>G24*H24</f>
        <v>12</v>
      </c>
      <c r="N24" s="233">
        <f>M24</f>
        <v>12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9.65</v>
      </c>
      <c r="H26" s="257"/>
      <c r="I26" s="244"/>
      <c r="J26" s="244"/>
      <c r="K26" s="244"/>
      <c r="L26" s="244"/>
      <c r="M26" s="232"/>
      <c r="N26" s="233">
        <f>ROUND(G26*D26,2)</f>
        <v>19.3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19.3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12</v>
      </c>
      <c r="N28" s="233">
        <f>ROUND((G28*H28*K28)+(M28*K28),2)</f>
        <v>17.13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17.13</v>
      </c>
      <c r="N30" s="233">
        <f>ROUND(M30*L30,2)</f>
        <v>171.3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20</v>
      </c>
      <c r="F34" s="231">
        <f>F24</f>
        <v>3</v>
      </c>
      <c r="G34" s="244">
        <f>ROUND(E34*F34,2)</f>
        <v>60</v>
      </c>
      <c r="H34" s="244"/>
      <c r="I34" s="244"/>
      <c r="J34" s="244"/>
      <c r="K34" s="244"/>
      <c r="L34" s="244"/>
      <c r="M34" s="232"/>
      <c r="N34" s="233">
        <f>G34</f>
        <v>60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42.15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8.43</v>
      </c>
      <c r="H38" s="232"/>
      <c r="I38" s="232">
        <f>1+1.5</f>
        <v>2.5</v>
      </c>
      <c r="J38" s="232"/>
      <c r="K38" s="232"/>
      <c r="L38" s="232"/>
      <c r="M38" s="232">
        <f>ROUND(G38*I38*D38,2)</f>
        <v>42.15</v>
      </c>
      <c r="N38" s="248">
        <f>M38</f>
        <v>42.15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3.3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42.15</v>
      </c>
      <c r="N41" s="233">
        <f>ROUND(K41*M41*L41,2)</f>
        <v>484.73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4.53</v>
      </c>
      <c r="H43" s="244"/>
      <c r="I43" s="244">
        <f>J9-I38</f>
        <v>3.5</v>
      </c>
      <c r="J43" s="244"/>
      <c r="K43" s="244"/>
      <c r="L43" s="244"/>
      <c r="M43" s="232">
        <f>ROUND(G43*I43*D43,2)</f>
        <v>31.71</v>
      </c>
      <c r="N43" s="233">
        <f>M43</f>
        <v>31.71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31.71</v>
      </c>
      <c r="N45" s="233">
        <f>ROUND(M45*K45*L45,2)</f>
        <v>364.67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31.71</v>
      </c>
      <c r="N47" s="233">
        <f>M47</f>
        <v>31.71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536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2.4900000000000002</v>
      </c>
      <c r="H54" s="232">
        <v>0.1</v>
      </c>
      <c r="I54" s="232"/>
      <c r="J54" s="232"/>
      <c r="K54" s="232"/>
      <c r="L54" s="232"/>
      <c r="M54" s="232">
        <f>ROUND(G54*H54*D54,2)</f>
        <v>0.5</v>
      </c>
      <c r="N54" s="248">
        <f>M54</f>
        <v>0.5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34.86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2.4900000000000002</v>
      </c>
      <c r="H61" s="232"/>
      <c r="I61" s="232">
        <v>7</v>
      </c>
      <c r="J61" s="232"/>
      <c r="K61" s="232"/>
      <c r="L61" s="232"/>
      <c r="M61" s="232">
        <f>ROUND(G61*I61*D61,2)</f>
        <v>34.86</v>
      </c>
      <c r="N61" s="248">
        <f>M61</f>
        <v>34.86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180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15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180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53.6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10</v>
      </c>
      <c r="E71" s="231">
        <v>5.36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53.6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381.1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17</v>
      </c>
      <c r="E75" s="231">
        <f>J3+(0.15+0.15)</f>
        <v>20.3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345.1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12</v>
      </c>
      <c r="E76" s="231">
        <f>E65</f>
        <v>3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36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60.9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20.3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40.6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20.3</v>
      </c>
      <c r="F85" s="231">
        <f>E76</f>
        <v>3</v>
      </c>
      <c r="G85" s="244">
        <f>ROUND(E85*F85,2)</f>
        <v>60.9</v>
      </c>
      <c r="H85" s="244"/>
      <c r="I85" s="244"/>
      <c r="J85" s="244"/>
      <c r="K85" s="244"/>
      <c r="L85" s="244"/>
      <c r="M85" s="232"/>
      <c r="N85" s="233">
        <f>G85</f>
        <v>60.9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" right="0.5" top="1" bottom="1" header="0.5" footer="0.5"/>
  <pageSetup paperSize="9" scale="47" fitToHeight="0" orientation="portrait" r:id="rId1"/>
  <headerFooter>
    <oddHeader>&amp;L &amp;C &amp;R</oddHeader>
    <oddFooter>&amp;L &amp;C
 &amp;R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4" tint="-0.249977111117893"/>
    <pageSetUpPr fitToPage="1"/>
  </sheetPr>
  <dimension ref="A1:P40"/>
  <sheetViews>
    <sheetView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7.6640625" style="110" bestFit="1" customWidth="1"/>
    <col min="11" max="11" width="15.8867187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853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854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 customHeight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>
        <f>'MC - Anibal'!N14</f>
        <v>0</v>
      </c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Anibal'!N16</f>
        <v>0</v>
      </c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Anibal'!N18</f>
        <v>0</v>
      </c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Anibal'!N20</f>
        <v>0</v>
      </c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5.95" customHeight="1">
      <c r="A10" s="330">
        <v>10</v>
      </c>
      <c r="B10" s="330"/>
      <c r="C10" s="330"/>
      <c r="D10" s="330" t="s">
        <v>855</v>
      </c>
      <c r="E10" s="330"/>
      <c r="F10" s="335"/>
      <c r="G10" s="332"/>
      <c r="H10" s="332"/>
      <c r="I10" s="333">
        <f>I11+I18+I24+I30+I35</f>
        <v>455160.28</v>
      </c>
      <c r="J10" s="341">
        <v>1225787.6000000001</v>
      </c>
      <c r="K10" s="340">
        <f>J10-I10</f>
        <v>770627.32000000007</v>
      </c>
    </row>
    <row r="11" spans="1:11" s="334" customFormat="1" ht="24" customHeight="1">
      <c r="A11" s="330" t="s">
        <v>796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2621.51</v>
      </c>
    </row>
    <row r="12" spans="1:11" ht="39" customHeight="1">
      <c r="A12" s="237" t="s">
        <v>797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Bacabal'!N24</f>
        <v>6.6000000000000005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899.51</v>
      </c>
    </row>
    <row r="13" spans="1:11" ht="25.95" customHeight="1">
      <c r="A13" s="237" t="s">
        <v>798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Bacabal'!N26</f>
        <v>19.3</v>
      </c>
      <c r="G13" s="271">
        <v>2.66</v>
      </c>
      <c r="H13" s="271">
        <f t="shared" si="0"/>
        <v>3.3</v>
      </c>
      <c r="I13" s="271">
        <f t="shared" si="1"/>
        <v>63.69</v>
      </c>
    </row>
    <row r="14" spans="1:11" ht="52.2" customHeight="1">
      <c r="A14" s="237" t="s">
        <v>799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Bacabal'!N28</f>
        <v>10.92</v>
      </c>
      <c r="G14" s="271">
        <v>8.5299999999999994</v>
      </c>
      <c r="H14" s="271">
        <f t="shared" si="0"/>
        <v>10.6</v>
      </c>
      <c r="I14" s="271">
        <f t="shared" si="1"/>
        <v>115.75</v>
      </c>
    </row>
    <row r="15" spans="1:11" ht="39" customHeight="1">
      <c r="A15" s="237" t="s">
        <v>800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Bacabal'!N30</f>
        <v>109.2</v>
      </c>
      <c r="G15" s="271">
        <v>2.93</v>
      </c>
      <c r="H15" s="271">
        <f t="shared" si="0"/>
        <v>3.64</v>
      </c>
      <c r="I15" s="271">
        <f t="shared" si="1"/>
        <v>397.49</v>
      </c>
    </row>
    <row r="16" spans="1:11" ht="25.95" customHeight="1">
      <c r="A16" s="237" t="s">
        <v>801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Bacabal'!N32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5.95" customHeight="1">
      <c r="A17" s="237" t="s">
        <v>802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Bacabal'!N34</f>
        <v>33</v>
      </c>
      <c r="G17" s="271">
        <f>CPUs!H37</f>
        <v>26.78</v>
      </c>
      <c r="H17" s="271">
        <f t="shared" si="0"/>
        <v>33.270000000000003</v>
      </c>
      <c r="I17" s="271">
        <f t="shared" si="1"/>
        <v>1097.9100000000001</v>
      </c>
    </row>
    <row r="18" spans="1:16" s="334" customFormat="1" ht="24" customHeight="1">
      <c r="A18" s="330" t="s">
        <v>803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8173.9000000000005</v>
      </c>
    </row>
    <row r="19" spans="1:16" ht="52.2" customHeight="1">
      <c r="A19" s="237" t="s">
        <v>804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Bacabal'!N37</f>
        <v>42.15</v>
      </c>
      <c r="G19" s="271">
        <v>14.96</v>
      </c>
      <c r="H19" s="271">
        <f t="shared" si="0"/>
        <v>18.579999999999998</v>
      </c>
      <c r="I19" s="271">
        <f>ROUND(H19*F19,2)</f>
        <v>783.15</v>
      </c>
    </row>
    <row r="20" spans="1:16" ht="39" customHeight="1">
      <c r="A20" s="237" t="s">
        <v>805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Bacabal'!N41</f>
        <v>484.73</v>
      </c>
      <c r="G20" s="271">
        <v>2.93</v>
      </c>
      <c r="H20" s="271">
        <f t="shared" si="0"/>
        <v>3.64</v>
      </c>
      <c r="I20" s="271">
        <f>ROUND(H20*F20,2)</f>
        <v>1764.42</v>
      </c>
    </row>
    <row r="21" spans="1:16" ht="25.95" customHeight="1">
      <c r="A21" s="237" t="s">
        <v>806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Bacabal'!N43</f>
        <v>31.71</v>
      </c>
      <c r="G21" s="271">
        <v>82.09</v>
      </c>
      <c r="H21" s="271">
        <f t="shared" si="0"/>
        <v>101.98</v>
      </c>
      <c r="I21" s="271">
        <f>ROUND(H21*F21,2)</f>
        <v>3233.79</v>
      </c>
    </row>
    <row r="22" spans="1:16" ht="39" customHeight="1">
      <c r="A22" s="237" t="s">
        <v>807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Bacabal'!N45</f>
        <v>364.67</v>
      </c>
      <c r="G22" s="271">
        <v>2.93</v>
      </c>
      <c r="H22" s="271">
        <f t="shared" si="0"/>
        <v>3.64</v>
      </c>
      <c r="I22" s="271">
        <f>ROUND(H22*F22,2)</f>
        <v>1327.4</v>
      </c>
    </row>
    <row r="23" spans="1:16" ht="25.95" customHeight="1">
      <c r="A23" s="237" t="s">
        <v>808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Bacabal'!N47</f>
        <v>31.71</v>
      </c>
      <c r="G23" s="271">
        <v>27.04</v>
      </c>
      <c r="H23" s="271">
        <f t="shared" si="0"/>
        <v>33.590000000000003</v>
      </c>
      <c r="I23" s="271">
        <f>ROUND(H23*F23,2)</f>
        <v>1065.1400000000001</v>
      </c>
    </row>
    <row r="24" spans="1:16" s="334" customFormat="1" ht="31.2" customHeight="1">
      <c r="A24" s="330" t="s">
        <v>809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260309.07</v>
      </c>
    </row>
    <row r="25" spans="1:16" ht="39" customHeight="1">
      <c r="A25" s="237" t="s">
        <v>810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Bacabal'!N50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811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Bacabal'!N53</f>
        <v>0.5</v>
      </c>
      <c r="G26" s="271">
        <v>581.69000000000005</v>
      </c>
      <c r="H26" s="271">
        <f t="shared" si="2"/>
        <v>722.63</v>
      </c>
      <c r="I26" s="271">
        <f>ROUND(H26*F26,2)</f>
        <v>361.32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812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Bacabal'!N60</f>
        <v>34.86</v>
      </c>
      <c r="G27" s="271">
        <v>3843.08</v>
      </c>
      <c r="H27" s="271">
        <f t="shared" si="0"/>
        <v>4774.26</v>
      </c>
      <c r="I27" s="271">
        <f>ROUND(H27*F27,2)</f>
        <v>166430.70000000001</v>
      </c>
    </row>
    <row r="28" spans="1:16" ht="39" customHeight="1">
      <c r="A28" s="237" t="s">
        <v>813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Bacabal'!N67</f>
        <v>72</v>
      </c>
      <c r="G28" s="271">
        <f>CPUs!H66</f>
        <v>780.37999999999988</v>
      </c>
      <c r="H28" s="271">
        <f t="shared" si="0"/>
        <v>969.47</v>
      </c>
      <c r="I28" s="271">
        <f>ROUND(H28*F28,2)</f>
        <v>69801.84</v>
      </c>
    </row>
    <row r="29" spans="1:16" ht="24" customHeight="1">
      <c r="A29" s="237" t="s">
        <v>814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Bacabal'!N70</f>
        <v>21.44</v>
      </c>
      <c r="G29" s="271">
        <f>CPUs!H74</f>
        <v>890.38</v>
      </c>
      <c r="H29" s="271">
        <f t="shared" si="0"/>
        <v>1106.1199999999999</v>
      </c>
      <c r="I29" s="271">
        <f>ROUND(H29*F29,2)</f>
        <v>23715.21</v>
      </c>
    </row>
    <row r="30" spans="1:16" s="334" customFormat="1" ht="24" customHeight="1">
      <c r="A30" s="330" t="s">
        <v>815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183664.15</v>
      </c>
    </row>
    <row r="31" spans="1:16" ht="28.2" customHeight="1">
      <c r="A31" s="237" t="s">
        <v>816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Bacabal'!N74</f>
        <v>210.1</v>
      </c>
      <c r="G31" s="271">
        <f>CPUs!H90</f>
        <v>537.33000000000004</v>
      </c>
      <c r="H31" s="271">
        <f t="shared" si="0"/>
        <v>667.53</v>
      </c>
      <c r="I31" s="271">
        <f>ROUND(H31*F31,2)</f>
        <v>140248.04999999999</v>
      </c>
    </row>
    <row r="32" spans="1:16" ht="34.950000000000003" customHeight="1">
      <c r="A32" s="237" t="s">
        <v>817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Bacabal'!N78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66" hidden="1">
      <c r="A33" s="237" t="s">
        <v>818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Bacabal'!N80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819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Bacabal'!N82</f>
        <v>22.6</v>
      </c>
      <c r="G34" s="271">
        <f>CPUs!H124</f>
        <v>1256.7800000000002</v>
      </c>
      <c r="H34" s="271">
        <f t="shared" si="0"/>
        <v>1561.3</v>
      </c>
      <c r="I34" s="271">
        <f>ROUND(H34*F34,2)</f>
        <v>35285.379999999997</v>
      </c>
    </row>
    <row r="35" spans="1:10" s="334" customFormat="1" ht="21.6" customHeight="1">
      <c r="A35" s="330" t="s">
        <v>820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391.65</v>
      </c>
    </row>
    <row r="36" spans="1:10">
      <c r="A36" s="237" t="s">
        <v>821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Bacabal'!N85</f>
        <v>33.9</v>
      </c>
      <c r="G36" s="271">
        <v>1.71</v>
      </c>
      <c r="H36" s="271">
        <f t="shared" ref="H36" si="3">ROUND(G36*(100%+$G$2),2)</f>
        <v>2.12</v>
      </c>
      <c r="I36" s="271">
        <f>ROUND(H36*F36,2)</f>
        <v>71.87</v>
      </c>
    </row>
    <row r="37" spans="1:10">
      <c r="A37" s="237" t="s">
        <v>822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455160.28</v>
      </c>
      <c r="J39" s="324"/>
    </row>
    <row r="40" spans="1:10" ht="70.2" customHeight="1">
      <c r="A40" s="489" t="s">
        <v>378</v>
      </c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E1:F1"/>
    <mergeCell ref="G1:H1"/>
    <mergeCell ref="E2:F2"/>
    <mergeCell ref="G2:H2"/>
    <mergeCell ref="A3:I3"/>
    <mergeCell ref="A38:C38"/>
    <mergeCell ref="F38:G38"/>
    <mergeCell ref="H38:I38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4" tint="-0.249977111117893"/>
    <pageSetUpPr fitToPage="1"/>
  </sheetPr>
  <dimension ref="A1:X92"/>
  <sheetViews>
    <sheetView showGridLines="0" showOutlineSymbols="0" showWhiteSpace="0" view="pageBreakPreview" topLeftCell="E1" zoomScale="90" zoomScaleNormal="100" zoomScaleSheetLayoutView="90" workbookViewId="0">
      <selection activeCell="K29" sqref="K29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9.109375" style="110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856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11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  <c r="P5" s="110" t="s">
        <v>857</v>
      </c>
      <c r="Q5" s="110">
        <f>11/4</f>
        <v>2.75</v>
      </c>
      <c r="R5" s="110">
        <v>3</v>
      </c>
      <c r="S5" s="110" t="s">
        <v>417</v>
      </c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556</v>
      </c>
      <c r="Q6" s="219">
        <f>17/4</f>
        <v>4.25</v>
      </c>
      <c r="R6" s="258">
        <v>4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R5-1</f>
        <v>2</v>
      </c>
      <c r="K7" s="222" t="s">
        <v>392</v>
      </c>
      <c r="L7" s="220" t="s">
        <v>540</v>
      </c>
      <c r="M7" s="219">
        <f>3*J7</f>
        <v>6</v>
      </c>
      <c r="N7" s="220" t="s">
        <v>541</v>
      </c>
      <c r="P7" s="298" t="s">
        <v>513</v>
      </c>
      <c r="Q7" s="219">
        <f>17/4</f>
        <v>4.25</v>
      </c>
      <c r="R7" s="258">
        <v>4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514</v>
      </c>
      <c r="Q8" s="219">
        <f>19/4</f>
        <v>4.75</v>
      </c>
      <c r="R8" s="258">
        <v>4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9.7/4</f>
        <v>2.4249999999999998</v>
      </c>
      <c r="R12" s="258">
        <v>2</v>
      </c>
      <c r="S12" s="259" t="s">
        <v>417</v>
      </c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6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 t="s">
        <v>361</v>
      </c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11</v>
      </c>
      <c r="F24" s="231">
        <f>J4</f>
        <v>3</v>
      </c>
      <c r="G24" s="232">
        <f>ROUND(E24*F24,2)</f>
        <v>33</v>
      </c>
      <c r="H24" s="232">
        <v>0.2</v>
      </c>
      <c r="I24" s="232"/>
      <c r="J24" s="232"/>
      <c r="K24" s="232"/>
      <c r="L24" s="232"/>
      <c r="M24" s="232">
        <f>G24*H24</f>
        <v>6.6000000000000005</v>
      </c>
      <c r="N24" s="233">
        <f>M24</f>
        <v>6.6000000000000005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9.65</v>
      </c>
      <c r="H26" s="257"/>
      <c r="I26" s="244"/>
      <c r="J26" s="244"/>
      <c r="K26" s="244"/>
      <c r="L26" s="244"/>
      <c r="M26" s="232"/>
      <c r="N26" s="233">
        <f>ROUND(G26*D26,2)</f>
        <v>19.3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19.3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6.6000000000000005</v>
      </c>
      <c r="N28" s="233">
        <f>ROUND((G28*H28*K28)+(M28*K28),2)</f>
        <v>10.92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10.92</v>
      </c>
      <c r="N30" s="233">
        <f>ROUND(M30*L30,2)</f>
        <v>109.2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11</v>
      </c>
      <c r="F34" s="231">
        <f>F24</f>
        <v>3</v>
      </c>
      <c r="G34" s="244">
        <f>ROUND(E34*F34,2)</f>
        <v>33</v>
      </c>
      <c r="H34" s="244"/>
      <c r="I34" s="244"/>
      <c r="J34" s="244"/>
      <c r="K34" s="244"/>
      <c r="L34" s="244"/>
      <c r="M34" s="232"/>
      <c r="N34" s="233">
        <f>G34</f>
        <v>33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42.15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8.43</v>
      </c>
      <c r="H38" s="232"/>
      <c r="I38" s="232">
        <f>1+1.5</f>
        <v>2.5</v>
      </c>
      <c r="J38" s="232"/>
      <c r="K38" s="232"/>
      <c r="L38" s="232"/>
      <c r="M38" s="232">
        <f>ROUND(G38*I38*D38,2)</f>
        <v>42.15</v>
      </c>
      <c r="N38" s="248">
        <f>M38</f>
        <v>42.15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3.3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42.15</v>
      </c>
      <c r="N41" s="233">
        <f>ROUND(K41*M41*L41,2)</f>
        <v>484.73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4.53</v>
      </c>
      <c r="H43" s="244"/>
      <c r="I43" s="244">
        <f>J9-I38</f>
        <v>3.5</v>
      </c>
      <c r="J43" s="244"/>
      <c r="K43" s="244"/>
      <c r="L43" s="244"/>
      <c r="M43" s="232">
        <f>ROUND(G43*I43*D43,2)</f>
        <v>31.71</v>
      </c>
      <c r="N43" s="233">
        <f>M43</f>
        <v>31.71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31.71</v>
      </c>
      <c r="N45" s="233">
        <f>ROUND(M45*K45*L45,2)</f>
        <v>364.67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31.71</v>
      </c>
      <c r="N47" s="233">
        <f>M47</f>
        <v>31.71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858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2.4900000000000002</v>
      </c>
      <c r="H54" s="232">
        <v>0.1</v>
      </c>
      <c r="I54" s="232"/>
      <c r="J54" s="232"/>
      <c r="K54" s="232"/>
      <c r="L54" s="232"/>
      <c r="M54" s="232">
        <f>ROUND(G54*H54*D54,2)</f>
        <v>0.5</v>
      </c>
      <c r="N54" s="248">
        <f>M54</f>
        <v>0.5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34.86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2.4900000000000002</v>
      </c>
      <c r="H61" s="232"/>
      <c r="I61" s="232">
        <v>7</v>
      </c>
      <c r="J61" s="232"/>
      <c r="K61" s="232"/>
      <c r="L61" s="232"/>
      <c r="M61" s="232">
        <f>ROUND(G61*I61*D61,2)</f>
        <v>34.86</v>
      </c>
      <c r="N61" s="248">
        <f>M61</f>
        <v>34.86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72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6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72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21.44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4</v>
      </c>
      <c r="E71" s="231">
        <v>5.36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21.44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210.1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17</v>
      </c>
      <c r="E75" s="231">
        <f>J3+(0.15+0.15)</f>
        <v>11.3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192.1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6</v>
      </c>
      <c r="E76" s="231">
        <f>E65</f>
        <v>3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18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33.9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11.3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22.6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11.3</v>
      </c>
      <c r="F85" s="231">
        <f>E76</f>
        <v>3</v>
      </c>
      <c r="G85" s="244">
        <f>ROUND(E85*F85,2)</f>
        <v>33.9</v>
      </c>
      <c r="H85" s="244"/>
      <c r="I85" s="244"/>
      <c r="J85" s="244"/>
      <c r="K85" s="244"/>
      <c r="L85" s="244"/>
      <c r="M85" s="232"/>
      <c r="N85" s="233">
        <f>G85</f>
        <v>33.9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" right="0.5" top="1" bottom="1" header="0.5" footer="0.5"/>
  <pageSetup paperSize="9" scale="47" fitToHeight="0" orientation="portrait" r:id="rId1"/>
  <headerFooter>
    <oddHeader>&amp;L &amp;C &amp;R</oddHeader>
    <oddFooter>&amp;L &amp;C
 &amp;R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4" tint="0.59999389629810485"/>
    <pageSetUpPr fitToPage="1"/>
  </sheetPr>
  <dimension ref="A1:P40"/>
  <sheetViews>
    <sheetView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6.109375" style="110" bestFit="1" customWidth="1"/>
    <col min="11" max="11" width="14.4414062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860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861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/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/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/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/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6.4">
      <c r="A10" s="330">
        <v>2</v>
      </c>
      <c r="B10" s="330"/>
      <c r="C10" s="330"/>
      <c r="D10" s="330" t="s">
        <v>862</v>
      </c>
      <c r="E10" s="330"/>
      <c r="F10" s="335"/>
      <c r="G10" s="332"/>
      <c r="H10" s="332"/>
      <c r="I10" s="333">
        <f>I11+I18+I24+I30+I35</f>
        <v>819422.65999999992</v>
      </c>
      <c r="J10" s="336">
        <v>1333012.52</v>
      </c>
      <c r="K10" s="336">
        <f>J10-I10</f>
        <v>513589.8600000001</v>
      </c>
    </row>
    <row r="11" spans="1:11" s="334" customFormat="1" ht="24" customHeight="1">
      <c r="A11" s="330" t="s">
        <v>26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5685.87</v>
      </c>
    </row>
    <row r="12" spans="1:11" ht="39" customHeight="1">
      <c r="A12" s="237" t="s">
        <v>444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S.J. das Varas'!N24</f>
        <v>14.8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2017.09</v>
      </c>
    </row>
    <row r="13" spans="1:11" ht="25.95" customHeight="1">
      <c r="A13" s="237" t="s">
        <v>445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S.J. das Varas'!N26</f>
        <v>31.52</v>
      </c>
      <c r="G13" s="271">
        <v>2.66</v>
      </c>
      <c r="H13" s="271">
        <f t="shared" si="0"/>
        <v>3.3</v>
      </c>
      <c r="I13" s="271">
        <f t="shared" si="1"/>
        <v>104.02</v>
      </c>
    </row>
    <row r="14" spans="1:11" ht="52.2" customHeight="1">
      <c r="A14" s="237" t="s">
        <v>446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S.J. das Varas'!N28</f>
        <v>22.46</v>
      </c>
      <c r="G14" s="271">
        <v>8.5299999999999994</v>
      </c>
      <c r="H14" s="271">
        <f t="shared" si="0"/>
        <v>10.6</v>
      </c>
      <c r="I14" s="271">
        <f t="shared" si="1"/>
        <v>238.08</v>
      </c>
    </row>
    <row r="15" spans="1:11" ht="39" customHeight="1">
      <c r="A15" s="237" t="s">
        <v>447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S.J. das Varas'!N30</f>
        <v>224.6</v>
      </c>
      <c r="G15" s="271">
        <v>2.93</v>
      </c>
      <c r="H15" s="271">
        <f t="shared" si="0"/>
        <v>3.64</v>
      </c>
      <c r="I15" s="271">
        <f t="shared" si="1"/>
        <v>817.54</v>
      </c>
    </row>
    <row r="16" spans="1:11" ht="25.95" customHeight="1">
      <c r="A16" s="237" t="s">
        <v>448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S.J. das Varas'!N32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6.4">
      <c r="A17" s="237" t="s">
        <v>449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S.J. das Varas'!N34</f>
        <v>74</v>
      </c>
      <c r="G17" s="271">
        <f>CPUs!H37</f>
        <v>26.78</v>
      </c>
      <c r="H17" s="271">
        <f t="shared" si="0"/>
        <v>33.270000000000003</v>
      </c>
      <c r="I17" s="271">
        <f t="shared" si="1"/>
        <v>2461.98</v>
      </c>
    </row>
    <row r="18" spans="1:16" s="334" customFormat="1" ht="24" customHeight="1">
      <c r="A18" s="330" t="s">
        <v>274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13976.970000000001</v>
      </c>
    </row>
    <row r="19" spans="1:16" ht="52.2" customHeight="1">
      <c r="A19" s="237" t="s">
        <v>450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S.J. das Varas'!N37</f>
        <v>55.35</v>
      </c>
      <c r="G19" s="271">
        <v>14.96</v>
      </c>
      <c r="H19" s="271">
        <f t="shared" si="0"/>
        <v>18.579999999999998</v>
      </c>
      <c r="I19" s="271">
        <f>ROUND(H19*F19,2)</f>
        <v>1028.4000000000001</v>
      </c>
    </row>
    <row r="20" spans="1:16" ht="39" customHeight="1">
      <c r="A20" s="237" t="s">
        <v>451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S.J. das Varas'!N41</f>
        <v>636.53</v>
      </c>
      <c r="G20" s="271">
        <v>2.93</v>
      </c>
      <c r="H20" s="271">
        <f t="shared" si="0"/>
        <v>3.64</v>
      </c>
      <c r="I20" s="271">
        <f>ROUND(H20*F20,2)</f>
        <v>2316.9699999999998</v>
      </c>
    </row>
    <row r="21" spans="1:16" ht="26.4">
      <c r="A21" s="237" t="s">
        <v>452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S.J. das Varas'!N43</f>
        <v>59.92</v>
      </c>
      <c r="G21" s="271">
        <v>82.09</v>
      </c>
      <c r="H21" s="271">
        <f t="shared" si="0"/>
        <v>101.98</v>
      </c>
      <c r="I21" s="271">
        <f>ROUND(H21*F21,2)</f>
        <v>6110.64</v>
      </c>
    </row>
    <row r="22" spans="1:16" ht="39" customHeight="1">
      <c r="A22" s="237" t="s">
        <v>453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S.J. das Varas'!N45</f>
        <v>689.08</v>
      </c>
      <c r="G22" s="271">
        <v>2.93</v>
      </c>
      <c r="H22" s="271">
        <f t="shared" si="0"/>
        <v>3.64</v>
      </c>
      <c r="I22" s="271">
        <f>ROUND(H22*F22,2)</f>
        <v>2508.25</v>
      </c>
    </row>
    <row r="23" spans="1:16" ht="26.4">
      <c r="A23" s="237" t="s">
        <v>454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S.J. das Varas'!N47</f>
        <v>59.92</v>
      </c>
      <c r="G23" s="271">
        <v>27.04</v>
      </c>
      <c r="H23" s="271">
        <f t="shared" si="0"/>
        <v>33.590000000000003</v>
      </c>
      <c r="I23" s="271">
        <f>ROUND(H23*F23,2)</f>
        <v>2012.71</v>
      </c>
    </row>
    <row r="24" spans="1:16" s="334" customFormat="1" ht="31.2" customHeight="1">
      <c r="A24" s="330" t="s">
        <v>278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417103.85</v>
      </c>
    </row>
    <row r="25" spans="1:16" ht="39" customHeight="1">
      <c r="A25" s="237" t="s">
        <v>455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S.J. das Varas'!N50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542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S.J. das Varas'!N53</f>
        <v>0.67</v>
      </c>
      <c r="G26" s="271">
        <v>581.69000000000005</v>
      </c>
      <c r="H26" s="271">
        <f t="shared" si="2"/>
        <v>722.63</v>
      </c>
      <c r="I26" s="271">
        <f>ROUND(H26*F26,2)</f>
        <v>484.16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546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S.J. das Varas'!N60</f>
        <v>47.18</v>
      </c>
      <c r="G27" s="271">
        <v>3843.08</v>
      </c>
      <c r="H27" s="271">
        <f t="shared" si="0"/>
        <v>4774.26</v>
      </c>
      <c r="I27" s="271">
        <f>ROUND(H27*F27,2)</f>
        <v>225249.59</v>
      </c>
    </row>
    <row r="28" spans="1:16" ht="39" customHeight="1">
      <c r="A28" s="237" t="s">
        <v>580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S.J. das Varas'!N67</f>
        <v>144</v>
      </c>
      <c r="G28" s="271">
        <f>CPUs!H66</f>
        <v>780.37999999999988</v>
      </c>
      <c r="H28" s="271">
        <f t="shared" si="0"/>
        <v>969.47</v>
      </c>
      <c r="I28" s="271">
        <f>ROUND(H28*F28,2)</f>
        <v>139603.68</v>
      </c>
    </row>
    <row r="29" spans="1:16" ht="24" customHeight="1">
      <c r="A29" s="237" t="s">
        <v>581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S.J. das Varas'!N70</f>
        <v>46.8</v>
      </c>
      <c r="G29" s="271">
        <f>CPUs!H74</f>
        <v>890.38</v>
      </c>
      <c r="H29" s="271">
        <f t="shared" si="0"/>
        <v>1106.1199999999999</v>
      </c>
      <c r="I29" s="271">
        <f>ROUND(H29*F29,2)</f>
        <v>51766.42</v>
      </c>
    </row>
    <row r="30" spans="1:16" s="334" customFormat="1" ht="24" customHeight="1">
      <c r="A30" s="330" t="s">
        <v>293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382176.76999999996</v>
      </c>
    </row>
    <row r="31" spans="1:16" ht="28.95" customHeight="1">
      <c r="A31" s="237" t="s">
        <v>456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S.J. das Varas'!N74</f>
        <v>472.4</v>
      </c>
      <c r="G31" s="271">
        <f>CPUs!H90</f>
        <v>537.33000000000004</v>
      </c>
      <c r="H31" s="271">
        <f t="shared" si="0"/>
        <v>667.53</v>
      </c>
      <c r="I31" s="271">
        <f>ROUND(H31*F31,2)</f>
        <v>315341.17</v>
      </c>
    </row>
    <row r="32" spans="1:16" ht="40.950000000000003" customHeight="1">
      <c r="A32" s="237" t="s">
        <v>457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S.J. das Varas'!N78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73.95" hidden="1" customHeight="1">
      <c r="A33" s="237" t="s">
        <v>458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S.J. das Varas'!N80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605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S.J. das Varas'!N82</f>
        <v>37.6</v>
      </c>
      <c r="G34" s="271">
        <f>CPUs!H124</f>
        <v>1256.7800000000002</v>
      </c>
      <c r="H34" s="271">
        <f t="shared" si="0"/>
        <v>1561.3</v>
      </c>
      <c r="I34" s="271">
        <f>ROUND(H34*F34,2)</f>
        <v>58704.88</v>
      </c>
    </row>
    <row r="35" spans="1:10" s="334" customFormat="1" ht="18.600000000000001" customHeight="1">
      <c r="A35" s="330" t="s">
        <v>459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479.19999999999993</v>
      </c>
    </row>
    <row r="36" spans="1:10" ht="18.600000000000001" customHeight="1">
      <c r="A36" s="237" t="s">
        <v>460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S.J. das Varas'!N85</f>
        <v>75.2</v>
      </c>
      <c r="G36" s="271">
        <v>1.71</v>
      </c>
      <c r="H36" s="271">
        <f t="shared" ref="H36" si="3">ROUND(G36*(100%+$G$2),2)</f>
        <v>2.12</v>
      </c>
      <c r="I36" s="271">
        <f>ROUND(H36*F36,2)</f>
        <v>159.41999999999999</v>
      </c>
    </row>
    <row r="37" spans="1:10" ht="18.600000000000001" customHeight="1">
      <c r="A37" s="237" t="s">
        <v>598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819422.65999999992</v>
      </c>
      <c r="J39" s="324"/>
    </row>
    <row r="40" spans="1:10" ht="70.2" customHeight="1">
      <c r="A40" s="489"/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E1:F1"/>
    <mergeCell ref="G1:H1"/>
    <mergeCell ref="E2:F2"/>
    <mergeCell ref="G2:H2"/>
    <mergeCell ref="A3:I3"/>
    <mergeCell ref="A38:C38"/>
    <mergeCell ref="F38:G38"/>
    <mergeCell ref="H38:I38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4" tint="0.59999389629810485"/>
    <pageSetUpPr fitToPage="1"/>
  </sheetPr>
  <dimension ref="A1:X92"/>
  <sheetViews>
    <sheetView showGridLines="0" showOutlineSymbols="0" showWhiteSpace="0" view="pageBreakPreview" topLeftCell="C1" zoomScale="90" zoomScaleNormal="100" zoomScaleSheetLayoutView="90" workbookViewId="0">
      <selection activeCell="K29" sqref="K29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7.109375" style="110" bestFit="1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863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18.5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4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864</v>
      </c>
      <c r="Q6" s="219">
        <f>18.5/4</f>
        <v>4.625</v>
      </c>
      <c r="R6" s="258">
        <v>5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R6-1</f>
        <v>4</v>
      </c>
      <c r="K7" s="222" t="s">
        <v>392</v>
      </c>
      <c r="L7" s="220" t="s">
        <v>540</v>
      </c>
      <c r="M7" s="219">
        <f>3*J7</f>
        <v>12</v>
      </c>
      <c r="N7" s="220" t="s">
        <v>541</v>
      </c>
      <c r="P7" s="298"/>
      <c r="Q7" s="219"/>
      <c r="R7" s="258"/>
      <c r="S7" s="259"/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/>
      <c r="Q8" s="219"/>
      <c r="R8" s="258"/>
      <c r="S8" s="259"/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/>
      <c r="Q9" s="219"/>
      <c r="R9" s="258"/>
      <c r="S9" s="259"/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/>
      <c r="Q10" s="219"/>
      <c r="R10" s="258"/>
      <c r="S10" s="259"/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/>
      <c r="Q11" s="219"/>
      <c r="R11" s="258"/>
      <c r="S11" s="259"/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/>
      <c r="Q12" s="219"/>
      <c r="R12" s="258"/>
      <c r="S12" s="259"/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/>
      <c r="B22" s="226"/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18.5</v>
      </c>
      <c r="F24" s="231">
        <f>J4</f>
        <v>4</v>
      </c>
      <c r="G24" s="232">
        <f>ROUND(E24*F24,2)</f>
        <v>74</v>
      </c>
      <c r="H24" s="232">
        <v>0.2</v>
      </c>
      <c r="I24" s="232"/>
      <c r="J24" s="232"/>
      <c r="K24" s="232"/>
      <c r="L24" s="232"/>
      <c r="M24" s="232">
        <f>G24*H24</f>
        <v>14.8</v>
      </c>
      <c r="N24" s="233">
        <f>M24</f>
        <v>14.8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15.76</v>
      </c>
      <c r="H26" s="257" t="s">
        <v>416</v>
      </c>
      <c r="I26" s="244"/>
      <c r="J26" s="244"/>
      <c r="K26" s="244"/>
      <c r="L26" s="244"/>
      <c r="M26" s="232"/>
      <c r="N26" s="233">
        <f>ROUND(G26*D26,2)</f>
        <v>31.52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31.52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14.8</v>
      </c>
      <c r="N28" s="233">
        <f>ROUND((G28*H28*K28)+(M28*K28),2)</f>
        <v>22.46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22.46</v>
      </c>
      <c r="N30" s="233">
        <f>ROUND(M30*L30,2)</f>
        <v>224.6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18.5</v>
      </c>
      <c r="F34" s="231">
        <f>F24</f>
        <v>4</v>
      </c>
      <c r="G34" s="244">
        <f>ROUND(E34*F34,2)</f>
        <v>74</v>
      </c>
      <c r="H34" s="244"/>
      <c r="I34" s="244"/>
      <c r="J34" s="244"/>
      <c r="K34" s="244"/>
      <c r="L34" s="244"/>
      <c r="M34" s="232"/>
      <c r="N34" s="233">
        <f>G34</f>
        <v>74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55.35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11.07</v>
      </c>
      <c r="H38" s="232"/>
      <c r="I38" s="232">
        <f>1+1.5</f>
        <v>2.5</v>
      </c>
      <c r="J38" s="232"/>
      <c r="K38" s="232"/>
      <c r="L38" s="232"/>
      <c r="M38" s="232">
        <f>ROUND(G38*I38*D38,2)</f>
        <v>55.35</v>
      </c>
      <c r="N38" s="248">
        <f>M38</f>
        <v>55.35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4.3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55.35</v>
      </c>
      <c r="N41" s="233">
        <f>ROUND(K41*M41*L41,2)</f>
        <v>636.53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8.56</v>
      </c>
      <c r="H43" s="244"/>
      <c r="I43" s="244">
        <f>J9-I38</f>
        <v>3.5</v>
      </c>
      <c r="J43" s="244"/>
      <c r="K43" s="244"/>
      <c r="L43" s="244"/>
      <c r="M43" s="232">
        <f>ROUND(G43*I43*D43,2)</f>
        <v>59.92</v>
      </c>
      <c r="N43" s="233">
        <f>M43</f>
        <v>59.92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59.92</v>
      </c>
      <c r="N45" s="233">
        <f>ROUND(M45*K45*L45,2)</f>
        <v>689.08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59.92</v>
      </c>
      <c r="N47" s="233">
        <f>M47</f>
        <v>59.92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858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32"/>
      <c r="H52" s="232"/>
      <c r="I52" s="232"/>
      <c r="J52" s="232"/>
      <c r="K52" s="232"/>
      <c r="L52" s="232"/>
      <c r="M52" s="232"/>
      <c r="N52" s="248"/>
      <c r="O52" s="109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0.67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3.37</v>
      </c>
      <c r="H54" s="232">
        <v>0.1</v>
      </c>
      <c r="I54" s="232"/>
      <c r="J54" s="232"/>
      <c r="K54" s="232"/>
      <c r="L54" s="232"/>
      <c r="M54" s="232">
        <f>ROUND(G54*H54*D54,2)</f>
        <v>0.67</v>
      </c>
      <c r="N54" s="248">
        <f>M54</f>
        <v>0.67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47.18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3.37</v>
      </c>
      <c r="H61" s="232"/>
      <c r="I61" s="232">
        <v>7</v>
      </c>
      <c r="J61" s="232"/>
      <c r="K61" s="232"/>
      <c r="L61" s="232"/>
      <c r="M61" s="232">
        <f>ROUND(G61*I61*D61,2)</f>
        <v>47.18</v>
      </c>
      <c r="N61" s="248">
        <f>M61</f>
        <v>47.18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4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144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12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144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46.8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8</v>
      </c>
      <c r="E71" s="231">
        <v>5.85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46.8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472.4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23</v>
      </c>
      <c r="E75" s="231">
        <f>J3+(0.15+0.15)</f>
        <v>18.8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432.4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10</v>
      </c>
      <c r="E76" s="231">
        <f>E65</f>
        <v>4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40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75.2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18.8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37.6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18.8</v>
      </c>
      <c r="F85" s="231">
        <f>E76</f>
        <v>4</v>
      </c>
      <c r="G85" s="244">
        <f>ROUND(E85*F85,2)</f>
        <v>75.2</v>
      </c>
      <c r="H85" s="244"/>
      <c r="I85" s="244"/>
      <c r="J85" s="244"/>
      <c r="K85" s="244"/>
      <c r="L85" s="244"/>
      <c r="M85" s="232"/>
      <c r="N85" s="233">
        <f>G85</f>
        <v>75.2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>&amp;L &amp;C &amp;R</oddHeader>
    <oddFooter>&amp;L &amp;C
 &amp;R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7030A0"/>
  </sheetPr>
  <dimension ref="A1:Q43"/>
  <sheetViews>
    <sheetView showGridLines="0" view="pageBreakPreview" topLeftCell="E16" zoomScaleNormal="85" zoomScaleSheetLayoutView="100" workbookViewId="0">
      <selection activeCell="A7" sqref="A7:H7"/>
    </sheetView>
  </sheetViews>
  <sheetFormatPr defaultColWidth="9.109375" defaultRowHeight="13.8"/>
  <cols>
    <col min="1" max="1" width="9.109375" style="5"/>
    <col min="2" max="2" width="9.109375" style="4"/>
    <col min="3" max="3" width="11.88671875" style="4" customWidth="1"/>
    <col min="4" max="4" width="58.6640625" style="4" customWidth="1"/>
    <col min="5" max="5" width="9.6640625" style="7" customWidth="1"/>
    <col min="6" max="6" width="9.109375" style="42"/>
    <col min="7" max="7" width="15.109375" style="10" customWidth="1"/>
    <col min="8" max="8" width="16.109375" style="10" customWidth="1"/>
    <col min="9" max="9" width="19.6640625" style="10" bestFit="1" customWidth="1"/>
    <col min="10" max="10" width="9.109375" style="4"/>
    <col min="11" max="11" width="17.33203125" style="4" bestFit="1" customWidth="1"/>
    <col min="12" max="13" width="9.109375" style="4"/>
    <col min="14" max="14" width="12.109375" style="4" bestFit="1" customWidth="1"/>
    <col min="15" max="16384" width="9.109375" style="4"/>
  </cols>
  <sheetData>
    <row r="1" spans="1:13" s="1" customFormat="1">
      <c r="A1" s="34"/>
      <c r="E1" s="14"/>
      <c r="F1" s="38"/>
      <c r="G1" s="9"/>
      <c r="H1" s="9"/>
      <c r="I1" s="9"/>
    </row>
    <row r="2" spans="1:13" s="1" customFormat="1">
      <c r="A2" s="34"/>
      <c r="E2" s="14"/>
      <c r="F2" s="38"/>
      <c r="G2" s="9"/>
      <c r="H2" s="9"/>
      <c r="I2" s="9"/>
    </row>
    <row r="3" spans="1:13" s="1" customFormat="1">
      <c r="A3" s="34"/>
      <c r="E3" s="14"/>
      <c r="F3" s="38"/>
      <c r="G3" s="9"/>
      <c r="H3" s="9"/>
      <c r="I3" s="9"/>
    </row>
    <row r="4" spans="1:13" s="1" customFormat="1">
      <c r="A4" s="34"/>
      <c r="E4" s="14"/>
      <c r="F4" s="38"/>
      <c r="G4" s="9"/>
      <c r="H4" s="9"/>
      <c r="I4" s="9"/>
    </row>
    <row r="5" spans="1:13" s="1" customFormat="1">
      <c r="A5" s="34"/>
      <c r="E5" s="14"/>
      <c r="F5" s="38"/>
      <c r="G5" s="9"/>
      <c r="H5" s="9"/>
      <c r="I5" s="9"/>
    </row>
    <row r="6" spans="1:13" s="1" customFormat="1">
      <c r="A6" s="34"/>
      <c r="E6" s="14"/>
      <c r="F6" s="38"/>
      <c r="G6" s="9"/>
      <c r="H6" s="9"/>
      <c r="I6" s="9"/>
    </row>
    <row r="7" spans="1:13" s="1" customFormat="1">
      <c r="A7" s="34"/>
      <c r="E7" s="14"/>
      <c r="F7" s="38"/>
      <c r="G7" s="9"/>
      <c r="H7" s="9"/>
      <c r="I7" s="9"/>
    </row>
    <row r="8" spans="1:13" s="1" customFormat="1">
      <c r="A8" s="504" t="s">
        <v>0</v>
      </c>
      <c r="B8" s="504"/>
      <c r="C8" s="504"/>
      <c r="D8" s="504"/>
      <c r="E8" s="504"/>
      <c r="F8" s="504"/>
      <c r="G8" s="504"/>
      <c r="H8" s="504"/>
      <c r="I8" s="504"/>
      <c r="J8" s="2"/>
      <c r="K8" s="2"/>
      <c r="L8" s="2"/>
      <c r="M8" s="2"/>
    </row>
    <row r="9" spans="1:13" s="1" customFormat="1" ht="14.4">
      <c r="A9" s="504" t="s">
        <v>205</v>
      </c>
      <c r="B9" s="505"/>
      <c r="C9" s="505"/>
      <c r="D9" s="505"/>
      <c r="E9" s="505"/>
      <c r="F9" s="505"/>
      <c r="G9" s="505"/>
      <c r="H9" s="505"/>
      <c r="I9" s="505"/>
      <c r="J9" s="2"/>
      <c r="K9" s="2"/>
      <c r="L9" s="2"/>
      <c r="M9" s="2"/>
    </row>
    <row r="10" spans="1:13" s="1" customFormat="1" ht="14.4">
      <c r="A10" s="28" t="s">
        <v>193</v>
      </c>
      <c r="B10" s="29"/>
      <c r="C10" s="29"/>
      <c r="D10" s="29"/>
      <c r="E10" s="29"/>
      <c r="F10" s="29"/>
      <c r="G10" s="29"/>
      <c r="H10" s="29"/>
      <c r="I10" s="29"/>
      <c r="J10" s="2"/>
      <c r="K10" s="2"/>
      <c r="L10" s="2"/>
      <c r="M10" s="2"/>
    </row>
    <row r="11" spans="1:13" s="1" customFormat="1" ht="14.4">
      <c r="A11" s="504" t="s">
        <v>200</v>
      </c>
      <c r="B11" s="505"/>
      <c r="C11" s="505"/>
      <c r="D11" s="505"/>
      <c r="E11" s="505"/>
      <c r="F11" s="505"/>
      <c r="G11" s="505"/>
      <c r="H11" s="505"/>
      <c r="I11" s="505"/>
      <c r="J11" s="2"/>
      <c r="K11" s="2"/>
      <c r="L11" s="2"/>
      <c r="M11" s="2"/>
    </row>
    <row r="12" spans="1:13" ht="14.4">
      <c r="A12" s="504" t="s">
        <v>1</v>
      </c>
      <c r="B12" s="505"/>
      <c r="C12" s="505"/>
      <c r="D12" s="505"/>
      <c r="E12" s="506" t="s">
        <v>204</v>
      </c>
      <c r="F12" s="505"/>
      <c r="G12" s="505"/>
      <c r="H12" s="505"/>
      <c r="I12" s="505"/>
      <c r="J12" s="3"/>
      <c r="K12" s="3"/>
      <c r="L12" s="3"/>
      <c r="M12" s="3"/>
    </row>
    <row r="15" spans="1:13" s="3" customFormat="1" ht="21.6" customHeight="1">
      <c r="A15" s="503" t="s">
        <v>2</v>
      </c>
      <c r="B15" s="503"/>
      <c r="C15" s="503"/>
      <c r="D15" s="503"/>
      <c r="E15" s="503"/>
      <c r="F15" s="503"/>
      <c r="G15" s="503"/>
      <c r="H15" s="503"/>
      <c r="I15" s="503"/>
      <c r="L15" s="3">
        <v>1.2423</v>
      </c>
    </row>
    <row r="16" spans="1:13" s="5" customFormat="1" ht="28.5" customHeight="1">
      <c r="A16" s="6" t="s">
        <v>3</v>
      </c>
      <c r="B16" s="6" t="s">
        <v>4</v>
      </c>
      <c r="C16" s="6" t="s">
        <v>5</v>
      </c>
      <c r="D16" s="6" t="s">
        <v>6</v>
      </c>
      <c r="E16" s="6" t="s">
        <v>11</v>
      </c>
      <c r="F16" s="39" t="s">
        <v>7</v>
      </c>
      <c r="G16" s="11" t="s">
        <v>8</v>
      </c>
      <c r="H16" s="11" t="s">
        <v>9</v>
      </c>
      <c r="I16" s="12" t="s">
        <v>10</v>
      </c>
    </row>
    <row r="17" spans="1:16" s="18" customFormat="1">
      <c r="A17" s="16">
        <v>1</v>
      </c>
      <c r="B17" s="498" t="s">
        <v>19</v>
      </c>
      <c r="C17" s="499"/>
      <c r="D17" s="500"/>
      <c r="E17" s="16"/>
      <c r="F17" s="40"/>
      <c r="G17" s="17"/>
      <c r="H17" s="17"/>
      <c r="I17" s="155">
        <f>SUM(I18:I21)</f>
        <v>13666.44</v>
      </c>
      <c r="P17" s="18" t="s">
        <v>224</v>
      </c>
    </row>
    <row r="18" spans="1:16" s="24" customFormat="1">
      <c r="A18" s="35" t="s">
        <v>12</v>
      </c>
      <c r="B18" s="19" t="s">
        <v>76</v>
      </c>
      <c r="C18" s="19" t="s">
        <v>351</v>
      </c>
      <c r="D18" s="151" t="s">
        <v>62</v>
      </c>
      <c r="E18" s="19" t="s">
        <v>20</v>
      </c>
      <c r="F18" s="36">
        <f>'MEMORIA DE CALCULO'!H14</f>
        <v>6</v>
      </c>
      <c r="G18" s="23">
        <v>351.8</v>
      </c>
      <c r="H18" s="22">
        <f>ROUND($L$15*G18,2)</f>
        <v>437.04</v>
      </c>
      <c r="I18" s="156">
        <f>ROUND(H18*F18,2)</f>
        <v>2622.24</v>
      </c>
      <c r="N18" s="24" t="s">
        <v>221</v>
      </c>
    </row>
    <row r="19" spans="1:16" s="24" customFormat="1" ht="41.4">
      <c r="A19" s="35" t="s">
        <v>17</v>
      </c>
      <c r="B19" s="19" t="s">
        <v>23</v>
      </c>
      <c r="C19" s="19">
        <v>11703</v>
      </c>
      <c r="D19" s="25" t="s">
        <v>354</v>
      </c>
      <c r="E19" s="19" t="s">
        <v>20</v>
      </c>
      <c r="F19" s="36">
        <f>'MEMORIA DE CALCULO'!H15</f>
        <v>15</v>
      </c>
      <c r="G19" s="23">
        <v>194.19</v>
      </c>
      <c r="H19" s="22">
        <f>ROUND($L$15*G19,2)</f>
        <v>241.24</v>
      </c>
      <c r="I19" s="156">
        <f>ROUND(H19*F19,2)</f>
        <v>3618.6</v>
      </c>
      <c r="K19" s="24" t="s">
        <v>418</v>
      </c>
      <c r="L19" s="160">
        <f>4.16*0.75</f>
        <v>3.12</v>
      </c>
      <c r="M19" s="161" t="s">
        <v>218</v>
      </c>
      <c r="N19" s="24" t="s">
        <v>220</v>
      </c>
      <c r="O19" s="24">
        <f>3.3*0.6*1</f>
        <v>1.9799999999999998</v>
      </c>
      <c r="P19" s="24">
        <f>3.3*0.6*4</f>
        <v>7.919999999999999</v>
      </c>
    </row>
    <row r="20" spans="1:16" s="24" customFormat="1" ht="41.4">
      <c r="A20" s="35" t="s">
        <v>413</v>
      </c>
      <c r="B20" s="19" t="s">
        <v>23</v>
      </c>
      <c r="C20" s="19" t="s">
        <v>415</v>
      </c>
      <c r="D20" s="25" t="s">
        <v>21</v>
      </c>
      <c r="E20" s="19" t="s">
        <v>414</v>
      </c>
      <c r="F20" s="36">
        <f>'MEMORIA DE CALCULO'!H16</f>
        <v>30</v>
      </c>
      <c r="G20" s="23">
        <v>195.19</v>
      </c>
      <c r="H20" s="22">
        <f>ROUND($L$15*G20,2)</f>
        <v>242.48</v>
      </c>
      <c r="I20" s="156">
        <f>ROUND(H20*F20,2)</f>
        <v>7274.4</v>
      </c>
      <c r="L20" s="160"/>
      <c r="M20" s="161"/>
    </row>
    <row r="21" spans="1:16" s="24" customFormat="1" ht="27.6">
      <c r="A21" s="35" t="s">
        <v>18</v>
      </c>
      <c r="B21" s="19" t="s">
        <v>76</v>
      </c>
      <c r="C21" s="249" t="s">
        <v>359</v>
      </c>
      <c r="D21" s="25" t="s">
        <v>360</v>
      </c>
      <c r="E21" s="19" t="s">
        <v>20</v>
      </c>
      <c r="F21" s="36">
        <f>'MEMORIA DE CALCULO'!H16</f>
        <v>30</v>
      </c>
      <c r="G21" s="23">
        <v>4.0599999999999996</v>
      </c>
      <c r="H21" s="22">
        <f>ROUND($L$15*G21,2)</f>
        <v>5.04</v>
      </c>
      <c r="I21" s="156">
        <f>ROUND(H21*F21,2)</f>
        <v>151.19999999999999</v>
      </c>
      <c r="K21" s="24" t="s">
        <v>419</v>
      </c>
      <c r="L21" s="160">
        <f>5.43*0.75</f>
        <v>4.0724999999999998</v>
      </c>
      <c r="M21" s="161" t="s">
        <v>218</v>
      </c>
      <c r="O21" s="24">
        <f>O19*3</f>
        <v>5.9399999999999995</v>
      </c>
      <c r="P21" s="24">
        <f>P19*3</f>
        <v>23.759999999999998</v>
      </c>
    </row>
    <row r="22" spans="1:16" s="24" customFormat="1">
      <c r="A22" s="250"/>
      <c r="B22" s="251"/>
      <c r="C22" s="251"/>
      <c r="D22" s="252"/>
      <c r="E22" s="251"/>
      <c r="F22" s="253"/>
      <c r="G22" s="254"/>
      <c r="H22" s="255"/>
      <c r="I22" s="256"/>
      <c r="K22" s="24" t="s">
        <v>420</v>
      </c>
      <c r="L22" s="160">
        <f>6.58*0.75</f>
        <v>4.9350000000000005</v>
      </c>
      <c r="M22" s="161" t="s">
        <v>218</v>
      </c>
    </row>
    <row r="23" spans="1:16" s="24" customFormat="1">
      <c r="A23" s="16">
        <v>2</v>
      </c>
      <c r="B23" s="501" t="s">
        <v>57</v>
      </c>
      <c r="C23" s="501"/>
      <c r="D23" s="501"/>
      <c r="E23" s="502"/>
      <c r="F23" s="502"/>
      <c r="G23" s="502"/>
      <c r="H23" s="502"/>
      <c r="I23" s="155">
        <f>SUM(I24)</f>
        <v>0</v>
      </c>
      <c r="K23" s="24" t="s">
        <v>421</v>
      </c>
      <c r="L23" s="160">
        <f>7.61*(0.75+1)</f>
        <v>13.317500000000001</v>
      </c>
      <c r="M23" s="161" t="s">
        <v>218</v>
      </c>
    </row>
    <row r="24" spans="1:16" s="24" customFormat="1" ht="27.6">
      <c r="A24" s="35" t="s">
        <v>26</v>
      </c>
      <c r="B24" s="19" t="s">
        <v>76</v>
      </c>
      <c r="C24" s="249" t="s">
        <v>359</v>
      </c>
      <c r="D24" s="25" t="s">
        <v>360</v>
      </c>
      <c r="E24" s="19" t="s">
        <v>20</v>
      </c>
      <c r="F24" s="36">
        <f>'MEMORIA DE CALCULO'!H19</f>
        <v>0</v>
      </c>
      <c r="G24" s="23">
        <v>4.0599999999999996</v>
      </c>
      <c r="H24" s="22">
        <f>ROUND($L$15*G24,2)</f>
        <v>5.04</v>
      </c>
      <c r="I24" s="156">
        <f>ROUND(H24*F24,2)</f>
        <v>0</v>
      </c>
      <c r="L24" s="160">
        <f>SUM(L19:L23)</f>
        <v>25.445</v>
      </c>
      <c r="M24" s="161" t="s">
        <v>218</v>
      </c>
    </row>
    <row r="25" spans="1:16" s="24" customFormat="1">
      <c r="A25" s="250"/>
      <c r="B25" s="251"/>
      <c r="C25" s="251"/>
      <c r="D25" s="252"/>
      <c r="E25" s="251"/>
      <c r="F25" s="253"/>
      <c r="G25" s="254"/>
      <c r="H25" s="255"/>
      <c r="I25" s="256"/>
      <c r="K25" s="160" t="s">
        <v>219</v>
      </c>
      <c r="L25" s="160">
        <f>L24*2</f>
        <v>50.89</v>
      </c>
      <c r="M25" s="161" t="s">
        <v>218</v>
      </c>
      <c r="O25" s="24">
        <f>L25+O21</f>
        <v>56.83</v>
      </c>
    </row>
    <row r="26" spans="1:16" s="24" customFormat="1">
      <c r="A26" s="16">
        <v>3</v>
      </c>
      <c r="B26" s="501" t="s">
        <v>56</v>
      </c>
      <c r="C26" s="501"/>
      <c r="D26" s="501"/>
      <c r="E26" s="502"/>
      <c r="F26" s="502"/>
      <c r="G26" s="502"/>
      <c r="H26" s="502"/>
      <c r="I26" s="155">
        <f>SUM(I27)</f>
        <v>3726.9</v>
      </c>
      <c r="O26" s="24">
        <f>O25*30</f>
        <v>1704.8999999999999</v>
      </c>
    </row>
    <row r="27" spans="1:16" s="24" customFormat="1">
      <c r="A27" s="35" t="s">
        <v>24</v>
      </c>
      <c r="B27" s="510" t="s">
        <v>201</v>
      </c>
      <c r="C27" s="511"/>
      <c r="D27" s="512"/>
      <c r="E27" s="21" t="s">
        <v>203</v>
      </c>
      <c r="F27" s="37">
        <v>1</v>
      </c>
      <c r="G27" s="22">
        <v>3000</v>
      </c>
      <c r="H27" s="22">
        <f>ROUND($L$15*G27,2)</f>
        <v>3726.9</v>
      </c>
      <c r="I27" s="156">
        <f>ROUND(H27*F27,2)</f>
        <v>3726.9</v>
      </c>
    </row>
    <row r="28" spans="1:16" s="24" customFormat="1">
      <c r="A28" s="35"/>
      <c r="B28" s="19"/>
      <c r="C28" s="19"/>
      <c r="D28" s="19"/>
      <c r="E28" s="19"/>
      <c r="F28" s="36"/>
      <c r="G28" s="23"/>
      <c r="H28" s="22"/>
      <c r="I28" s="156"/>
    </row>
    <row r="29" spans="1:16" s="3" customFormat="1">
      <c r="A29" s="16">
        <v>4</v>
      </c>
      <c r="B29" s="501" t="s">
        <v>49</v>
      </c>
      <c r="C29" s="501"/>
      <c r="D29" s="501"/>
      <c r="E29" s="502"/>
      <c r="F29" s="502"/>
      <c r="G29" s="502"/>
      <c r="H29" s="502"/>
      <c r="I29" s="155">
        <f>SUM(I31:I32)</f>
        <v>524493.1</v>
      </c>
      <c r="K29" s="159">
        <v>1327.33</v>
      </c>
    </row>
    <row r="30" spans="1:16" hidden="1">
      <c r="A30" s="35" t="s">
        <v>12</v>
      </c>
      <c r="B30" s="20" t="s">
        <v>13</v>
      </c>
      <c r="C30" s="20"/>
      <c r="D30" s="20"/>
      <c r="E30" s="21"/>
      <c r="F30" s="37"/>
      <c r="G30" s="22"/>
      <c r="H30" s="22"/>
      <c r="I30" s="156"/>
    </row>
    <row r="31" spans="1:16">
      <c r="A31" s="35" t="s">
        <v>43</v>
      </c>
      <c r="B31" s="20" t="s">
        <v>15</v>
      </c>
      <c r="C31" s="20" t="s">
        <v>14</v>
      </c>
      <c r="D31" s="20" t="s">
        <v>199</v>
      </c>
      <c r="E31" s="21" t="s">
        <v>16</v>
      </c>
      <c r="F31" s="37">
        <v>34.96</v>
      </c>
      <c r="G31" s="22">
        <v>8729.84</v>
      </c>
      <c r="H31" s="22">
        <f>ROUND($L$15*G31,2)</f>
        <v>10845.08</v>
      </c>
      <c r="I31" s="156">
        <f>ROUND(H31*F31,2)</f>
        <v>379144</v>
      </c>
      <c r="K31" s="158">
        <f>K29*(339.9+30)</f>
        <v>490979.36699999997</v>
      </c>
    </row>
    <row r="32" spans="1:16" ht="28.5" customHeight="1">
      <c r="A32" s="35" t="s">
        <v>44</v>
      </c>
      <c r="B32" s="513" t="s">
        <v>202</v>
      </c>
      <c r="C32" s="514"/>
      <c r="D32" s="20" t="s">
        <v>27</v>
      </c>
      <c r="E32" s="21" t="s">
        <v>22</v>
      </c>
      <c r="F32" s="37">
        <f>'MEMORIA DE CALCULO'!C44</f>
        <v>39</v>
      </c>
      <c r="G32" s="22">
        <v>3000</v>
      </c>
      <c r="H32" s="22">
        <f>ROUND($L$15*G32,2)</f>
        <v>3726.9</v>
      </c>
      <c r="I32" s="156">
        <f>ROUND(H32*F32,2)</f>
        <v>145349.1</v>
      </c>
      <c r="N32" s="4" t="s">
        <v>222</v>
      </c>
    </row>
    <row r="33" spans="1:17">
      <c r="A33" s="35"/>
      <c r="B33" s="20"/>
      <c r="C33" s="20"/>
      <c r="D33" s="20"/>
      <c r="E33" s="21"/>
      <c r="F33" s="37"/>
      <c r="G33" s="22"/>
      <c r="H33" s="22"/>
      <c r="I33" s="156"/>
      <c r="N33" s="4" t="s">
        <v>223</v>
      </c>
      <c r="P33" s="4">
        <f>L25</f>
        <v>50.89</v>
      </c>
    </row>
    <row r="34" spans="1:17" s="8" customFormat="1">
      <c r="A34" s="16">
        <v>5</v>
      </c>
      <c r="B34" s="507" t="s">
        <v>31</v>
      </c>
      <c r="C34" s="508"/>
      <c r="D34" s="509"/>
      <c r="E34" s="15"/>
      <c r="F34" s="41"/>
      <c r="G34" s="13"/>
      <c r="H34" s="13"/>
      <c r="I34" s="155">
        <f>SUM(I35)</f>
        <v>767.87</v>
      </c>
      <c r="N34" s="8" t="s">
        <v>225</v>
      </c>
      <c r="P34" s="8">
        <f>P21</f>
        <v>23.759999999999998</v>
      </c>
    </row>
    <row r="35" spans="1:17">
      <c r="A35" s="35" t="s">
        <v>45</v>
      </c>
      <c r="B35" s="19" t="s">
        <v>25</v>
      </c>
      <c r="C35" s="20" t="s">
        <v>30</v>
      </c>
      <c r="D35" s="20" t="s">
        <v>29</v>
      </c>
      <c r="E35" s="21" t="s">
        <v>20</v>
      </c>
      <c r="F35" s="37">
        <f>'MEMORIA DE CALCULO'!H49</f>
        <v>51.5</v>
      </c>
      <c r="G35" s="22">
        <v>12</v>
      </c>
      <c r="H35" s="26">
        <f>ROUND($L$15*G35,2)</f>
        <v>14.91</v>
      </c>
      <c r="I35" s="26">
        <f>ROUND(H35*F35,2)</f>
        <v>767.87</v>
      </c>
      <c r="P35" s="4">
        <f>P33+P34</f>
        <v>74.650000000000006</v>
      </c>
      <c r="Q35" s="4" t="s">
        <v>226</v>
      </c>
    </row>
    <row r="36" spans="1:17">
      <c r="A36" s="35"/>
      <c r="B36" s="20"/>
      <c r="C36" s="20"/>
      <c r="D36" s="20"/>
      <c r="E36" s="21"/>
      <c r="F36" s="37"/>
      <c r="G36" s="22"/>
      <c r="H36" s="22"/>
      <c r="I36" s="22"/>
    </row>
    <row r="37" spans="1:17" s="27" customFormat="1" ht="15.6">
      <c r="A37" s="88"/>
      <c r="B37" s="89"/>
      <c r="C37" s="89"/>
      <c r="D37" s="89"/>
      <c r="E37" s="90"/>
      <c r="F37" s="91"/>
      <c r="G37" s="89"/>
      <c r="H37" s="92" t="s">
        <v>10</v>
      </c>
      <c r="I37" s="92">
        <f>SUM(I17:I35)/2</f>
        <v>542654.31000000017</v>
      </c>
    </row>
    <row r="38" spans="1:17" s="99" customFormat="1">
      <c r="A38" s="98"/>
      <c r="E38" s="100"/>
      <c r="F38" s="101"/>
      <c r="G38" s="102"/>
      <c r="H38" s="102"/>
      <c r="I38" s="102"/>
    </row>
    <row r="39" spans="1:17">
      <c r="A39" s="103"/>
    </row>
    <row r="40" spans="1:17">
      <c r="A40" s="103"/>
    </row>
    <row r="41" spans="1:17" s="105" customFormat="1">
      <c r="A41" s="104"/>
      <c r="E41" s="106"/>
      <c r="F41" s="107"/>
      <c r="G41" s="108"/>
      <c r="H41" s="108"/>
      <c r="I41" s="108"/>
    </row>
    <row r="42" spans="1:17">
      <c r="A42" s="93"/>
      <c r="B42" s="94"/>
      <c r="C42" s="94"/>
      <c r="D42" s="94"/>
      <c r="E42" s="95"/>
      <c r="F42" s="96"/>
      <c r="G42" s="97"/>
      <c r="H42" s="97"/>
      <c r="I42" s="97"/>
    </row>
    <row r="43" spans="1:17">
      <c r="A43" s="35"/>
      <c r="B43" s="20"/>
      <c r="C43" s="20"/>
      <c r="D43" s="20"/>
      <c r="E43" s="21"/>
      <c r="F43" s="37"/>
      <c r="G43" s="22"/>
      <c r="H43" s="22"/>
      <c r="I43" s="22"/>
    </row>
  </sheetData>
  <mergeCells count="16">
    <mergeCell ref="B34:D34"/>
    <mergeCell ref="B23:D23"/>
    <mergeCell ref="E23:H23"/>
    <mergeCell ref="B26:D26"/>
    <mergeCell ref="E26:H26"/>
    <mergeCell ref="B27:D27"/>
    <mergeCell ref="B32:C32"/>
    <mergeCell ref="B17:D17"/>
    <mergeCell ref="B29:D29"/>
    <mergeCell ref="E29:H29"/>
    <mergeCell ref="A15:I15"/>
    <mergeCell ref="A8:I8"/>
    <mergeCell ref="A9:I9"/>
    <mergeCell ref="A11:I11"/>
    <mergeCell ref="A12:D12"/>
    <mergeCell ref="E12:I12"/>
  </mergeCells>
  <phoneticPr fontId="3" type="noConversion"/>
  <pageMargins left="0.7" right="0.7" top="0.75" bottom="0.75" header="0.3" footer="0.3"/>
  <pageSetup paperSize="9" scale="55" orientation="portrait" r:id="rId1"/>
  <colBreaks count="1" manualBreakCount="1">
    <brk id="9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7030A0"/>
  </sheetPr>
  <dimension ref="A1:Q52"/>
  <sheetViews>
    <sheetView view="pageBreakPreview" topLeftCell="A31" zoomScale="130" zoomScaleNormal="145" zoomScaleSheetLayoutView="130" workbookViewId="0">
      <selection activeCell="A7" sqref="A7:H7"/>
    </sheetView>
  </sheetViews>
  <sheetFormatPr defaultColWidth="9.109375" defaultRowHeight="13.2"/>
  <cols>
    <col min="1" max="1" width="7.6640625" style="54" customWidth="1"/>
    <col min="2" max="2" width="34.88671875" style="54" customWidth="1"/>
    <col min="3" max="3" width="10.109375" style="54" customWidth="1"/>
    <col min="4" max="4" width="13.88671875" style="87" customWidth="1"/>
    <col min="5" max="5" width="13.88671875" style="86" customWidth="1"/>
    <col min="6" max="6" width="16.33203125" style="54" customWidth="1"/>
    <col min="7" max="7" width="12" style="54" bestFit="1" customWidth="1"/>
    <col min="8" max="8" width="9.109375" style="54"/>
    <col min="9" max="9" width="12.33203125" style="54" customWidth="1"/>
    <col min="10" max="10" width="11.5546875" style="54" bestFit="1" customWidth="1"/>
    <col min="11" max="11" width="9.109375" style="54"/>
    <col min="12" max="12" width="10.88671875" style="54" customWidth="1"/>
    <col min="13" max="13" width="16.109375" style="54" customWidth="1"/>
    <col min="14" max="17" width="9.109375" style="54"/>
    <col min="18" max="18" width="11.5546875" style="54" bestFit="1" customWidth="1"/>
    <col min="19" max="16384" width="9.109375" style="54"/>
  </cols>
  <sheetData>
    <row r="1" spans="1:8" s="47" customFormat="1">
      <c r="D1" s="48"/>
      <c r="E1" s="49"/>
    </row>
    <row r="2" spans="1:8" s="47" customFormat="1" ht="30.75" customHeight="1">
      <c r="D2" s="48"/>
      <c r="E2" s="49"/>
    </row>
    <row r="3" spans="1:8" s="52" customFormat="1" ht="25.5" customHeight="1">
      <c r="A3" s="515"/>
      <c r="B3" s="515"/>
      <c r="C3" s="515"/>
      <c r="D3" s="50"/>
      <c r="E3" s="51"/>
    </row>
    <row r="4" spans="1:8" s="52" customFormat="1" ht="12" customHeight="1">
      <c r="A4" s="515"/>
      <c r="B4" s="515"/>
      <c r="C4" s="515"/>
      <c r="D4" s="515"/>
      <c r="E4" s="515"/>
    </row>
    <row r="5" spans="1:8" s="52" customFormat="1" ht="12" customHeight="1">
      <c r="A5" s="515"/>
      <c r="B5" s="515"/>
      <c r="C5" s="515"/>
      <c r="D5" s="515"/>
      <c r="E5" s="515"/>
    </row>
    <row r="6" spans="1:8" s="52" customFormat="1">
      <c r="A6" s="515" t="str">
        <f>ORCAMENTO!A8</f>
        <v>OBRA: CONSTRUÇÃO DE PONTE EM CONCRETO E TRILHOS</v>
      </c>
      <c r="B6" s="515"/>
      <c r="C6" s="515"/>
      <c r="D6" s="515"/>
      <c r="E6" s="515"/>
      <c r="F6" s="515"/>
      <c r="G6" s="515"/>
      <c r="H6" s="515"/>
    </row>
    <row r="7" spans="1:8" s="52" customFormat="1" ht="12.75" customHeight="1">
      <c r="A7" s="515" t="str">
        <f>ORCAMENTO!A9</f>
        <v>MUNICIPIO: CONCEIÇÃO DO LAGO AÇU - MA</v>
      </c>
      <c r="B7" s="515"/>
      <c r="C7" s="515"/>
      <c r="D7" s="515"/>
      <c r="E7" s="515"/>
      <c r="F7" s="515"/>
      <c r="G7" s="515"/>
      <c r="H7" s="515"/>
    </row>
    <row r="8" spans="1:8" s="52" customFormat="1" ht="12.75" customHeight="1">
      <c r="A8" s="515" t="str">
        <f>ORCAMENTO!A10</f>
        <v xml:space="preserve">LOCAL: </v>
      </c>
      <c r="B8" s="515"/>
      <c r="C8" s="515"/>
      <c r="D8" s="515"/>
      <c r="E8" s="515"/>
      <c r="F8" s="515"/>
      <c r="G8" s="515"/>
      <c r="H8" s="515"/>
    </row>
    <row r="9" spans="1:8" s="52" customFormat="1">
      <c r="A9" s="515" t="str">
        <f>ORCAMENTO!A11</f>
        <v>BANCOS: SICRO3 04/2021  -  SINAPI 08/2021    ORSE-SE 08/2021  -   SEINFRA 027</v>
      </c>
      <c r="B9" s="515"/>
      <c r="C9" s="515"/>
      <c r="D9" s="515"/>
      <c r="E9" s="515"/>
      <c r="F9" s="515"/>
      <c r="G9" s="515"/>
      <c r="H9" s="515"/>
    </row>
    <row r="10" spans="1:8" s="52" customFormat="1" ht="18" customHeight="1">
      <c r="A10" s="53"/>
      <c r="B10" s="53"/>
      <c r="C10" s="53"/>
      <c r="D10" s="53"/>
      <c r="E10" s="53"/>
      <c r="F10" s="528" t="str">
        <f>ORCAMENTO!E12</f>
        <v>ORÇAMENTO: NÃO DESONERADO</v>
      </c>
      <c r="G10" s="528"/>
      <c r="H10" s="528"/>
    </row>
    <row r="11" spans="1:8">
      <c r="A11" s="526" t="s">
        <v>32</v>
      </c>
      <c r="B11" s="526"/>
      <c r="C11" s="526"/>
      <c r="D11" s="526"/>
      <c r="E11" s="526"/>
      <c r="F11" s="526"/>
      <c r="G11" s="526"/>
      <c r="H11" s="526"/>
    </row>
    <row r="12" spans="1:8" ht="5.25" customHeight="1">
      <c r="A12" s="526"/>
      <c r="B12" s="526"/>
      <c r="C12" s="526"/>
      <c r="D12" s="526"/>
      <c r="E12" s="526"/>
      <c r="F12" s="526"/>
      <c r="G12" s="526"/>
      <c r="H12" s="526"/>
    </row>
    <row r="13" spans="1:8" s="57" customFormat="1" ht="12.6" customHeight="1">
      <c r="A13" s="55"/>
      <c r="B13" s="55" t="s">
        <v>3</v>
      </c>
      <c r="C13" s="55" t="s">
        <v>11</v>
      </c>
      <c r="D13" s="55" t="s">
        <v>46</v>
      </c>
      <c r="E13" s="55" t="s">
        <v>47</v>
      </c>
      <c r="F13" s="55" t="s">
        <v>48</v>
      </c>
      <c r="G13" s="56" t="s">
        <v>7</v>
      </c>
      <c r="H13" s="56" t="s">
        <v>10</v>
      </c>
    </row>
    <row r="14" spans="1:8" ht="12.6" customHeight="1">
      <c r="A14" s="43" t="str">
        <f>ORCAMENTO!A18</f>
        <v>1.1</v>
      </c>
      <c r="B14" s="44" t="str">
        <f>ORCAMENTO!D18</f>
        <v>ADMINISTRAÇÃO DA OBRA</v>
      </c>
      <c r="C14" s="45" t="s">
        <v>20</v>
      </c>
      <c r="D14" s="58">
        <v>3</v>
      </c>
      <c r="E14" s="58">
        <v>2</v>
      </c>
      <c r="F14" s="59"/>
      <c r="G14" s="60"/>
      <c r="H14" s="60">
        <f>E14*D14</f>
        <v>6</v>
      </c>
    </row>
    <row r="15" spans="1:8" ht="12.6" customHeight="1">
      <c r="A15" s="43" t="str">
        <f>ORCAMENTO!A19</f>
        <v>1.2</v>
      </c>
      <c r="B15" s="44" t="str">
        <f>ORCAMENTO!D19</f>
        <v>EXECUÇÃO DE DEPÓSITO EM CANTEIRO DE OBRA EM CHAPA DE MADEIRA COMPENSADA, NÃO INCLUSO MOBILIÁRIO. AF_04/2016</v>
      </c>
      <c r="C15" s="45" t="s">
        <v>20</v>
      </c>
      <c r="D15" s="58">
        <v>3</v>
      </c>
      <c r="E15" s="58">
        <v>5</v>
      </c>
      <c r="F15" s="58"/>
      <c r="G15" s="60"/>
      <c r="H15" s="60">
        <f>E15*D15</f>
        <v>15</v>
      </c>
    </row>
    <row r="16" spans="1:8" ht="12.6" customHeight="1">
      <c r="A16" s="43" t="str">
        <f>ORCAMENTO!A21</f>
        <v>1.4</v>
      </c>
      <c r="B16" s="44" t="str">
        <f>ORCAMENTO!D21</f>
        <v>MOBILIZAÇÃO E DESMOBILIZAÇÃO DE MAQUINAS E EQUIPAMENTOS</v>
      </c>
      <c r="C16" s="45" t="s">
        <v>20</v>
      </c>
      <c r="D16" s="58">
        <v>6</v>
      </c>
      <c r="E16" s="58">
        <v>5</v>
      </c>
      <c r="F16" s="58"/>
      <c r="G16" s="60"/>
      <c r="H16" s="60">
        <f>E16*D16</f>
        <v>30</v>
      </c>
    </row>
    <row r="17" spans="1:10" ht="12.6" customHeight="1">
      <c r="A17" s="61"/>
      <c r="B17" s="62"/>
      <c r="C17" s="62"/>
      <c r="D17" s="61"/>
      <c r="E17" s="61"/>
      <c r="F17" s="61"/>
      <c r="G17" s="63"/>
      <c r="H17" s="63"/>
    </row>
    <row r="18" spans="1:10" s="57" customFormat="1">
      <c r="A18" s="46">
        <f>ORCAMENTO!A29</f>
        <v>4</v>
      </c>
      <c r="B18" s="527" t="str">
        <f>ORCAMENTO!B29</f>
        <v>SUPERESTRUTURA</v>
      </c>
      <c r="C18" s="527"/>
      <c r="D18" s="527"/>
      <c r="E18" s="55" t="s">
        <v>16</v>
      </c>
      <c r="F18" s="64"/>
      <c r="G18" s="64"/>
      <c r="H18" s="64"/>
    </row>
    <row r="19" spans="1:10">
      <c r="A19" s="65"/>
      <c r="B19" s="66" t="s">
        <v>33</v>
      </c>
      <c r="C19" s="66" t="s">
        <v>34</v>
      </c>
      <c r="D19" s="67" t="s">
        <v>35</v>
      </c>
      <c r="E19" s="68" t="s">
        <v>36</v>
      </c>
      <c r="F19" s="68" t="s">
        <v>37</v>
      </c>
      <c r="G19" s="63"/>
      <c r="H19" s="63"/>
    </row>
    <row r="20" spans="1:10">
      <c r="A20" s="65"/>
      <c r="B20" s="66" t="s">
        <v>38</v>
      </c>
      <c r="C20" s="69"/>
      <c r="D20" s="67"/>
      <c r="E20" s="70"/>
      <c r="F20" s="63"/>
      <c r="G20" s="63"/>
      <c r="H20" s="63"/>
    </row>
    <row r="21" spans="1:10" ht="12" customHeight="1">
      <c r="A21" s="71"/>
      <c r="B21" s="72"/>
      <c r="C21" s="30">
        <v>67</v>
      </c>
      <c r="D21" s="31">
        <v>5</v>
      </c>
      <c r="E21" s="520" t="s">
        <v>41</v>
      </c>
      <c r="F21" s="523" t="s">
        <v>198</v>
      </c>
      <c r="G21" s="63"/>
      <c r="H21" s="63"/>
    </row>
    <row r="22" spans="1:10">
      <c r="A22" s="71"/>
      <c r="B22" s="72"/>
      <c r="C22" s="32"/>
      <c r="D22" s="31"/>
      <c r="E22" s="521"/>
      <c r="F22" s="524"/>
      <c r="G22" s="63"/>
      <c r="H22" s="63"/>
    </row>
    <row r="23" spans="1:10">
      <c r="A23" s="71"/>
      <c r="B23" s="72"/>
      <c r="C23" s="32"/>
      <c r="D23" s="31"/>
      <c r="E23" s="521"/>
      <c r="F23" s="524"/>
      <c r="G23" s="63"/>
      <c r="H23" s="63"/>
    </row>
    <row r="24" spans="1:10">
      <c r="A24" s="75"/>
      <c r="B24" s="76"/>
      <c r="C24" s="32"/>
      <c r="D24" s="31"/>
      <c r="E24" s="522"/>
      <c r="F24" s="525"/>
      <c r="G24" s="63"/>
      <c r="H24" s="63"/>
      <c r="J24" s="54">
        <f>1030/15.25</f>
        <v>67.540983606557376</v>
      </c>
    </row>
    <row r="25" spans="1:10">
      <c r="A25" s="71"/>
      <c r="B25" s="72"/>
      <c r="C25" s="516" t="s">
        <v>39</v>
      </c>
      <c r="D25" s="516"/>
      <c r="E25" s="516"/>
      <c r="F25" s="154">
        <v>34</v>
      </c>
      <c r="G25" s="66" t="s">
        <v>197</v>
      </c>
      <c r="H25" s="63"/>
    </row>
    <row r="26" spans="1:10">
      <c r="A26" s="71"/>
      <c r="B26" s="72"/>
      <c r="C26" s="152"/>
      <c r="D26" s="152"/>
      <c r="E26" s="152"/>
      <c r="F26" s="33"/>
      <c r="G26" s="63"/>
      <c r="H26" s="63"/>
    </row>
    <row r="27" spans="1:10">
      <c r="A27" s="71"/>
      <c r="B27" s="66" t="s">
        <v>194</v>
      </c>
      <c r="C27" s="66" t="s">
        <v>34</v>
      </c>
      <c r="D27" s="67" t="s">
        <v>35</v>
      </c>
      <c r="E27" s="68" t="s">
        <v>36</v>
      </c>
      <c r="F27" s="68" t="s">
        <v>37</v>
      </c>
      <c r="G27" s="63"/>
      <c r="H27" s="63"/>
    </row>
    <row r="28" spans="1:10">
      <c r="A28" s="71"/>
      <c r="B28" s="66" t="s">
        <v>38</v>
      </c>
      <c r="C28" s="69"/>
      <c r="D28" s="67"/>
      <c r="E28" s="70"/>
      <c r="F28" s="63"/>
      <c r="G28" s="63"/>
      <c r="H28" s="63"/>
    </row>
    <row r="29" spans="1:10">
      <c r="A29" s="71"/>
      <c r="B29" s="72"/>
      <c r="C29" s="30">
        <v>2</v>
      </c>
      <c r="D29" s="31">
        <v>10.3</v>
      </c>
      <c r="E29" s="520" t="s">
        <v>195</v>
      </c>
      <c r="F29" s="523" t="s">
        <v>196</v>
      </c>
      <c r="G29" s="63"/>
      <c r="H29" s="63"/>
    </row>
    <row r="30" spans="1:10">
      <c r="A30" s="71"/>
      <c r="B30" s="72"/>
      <c r="C30" s="32"/>
      <c r="D30" s="31"/>
      <c r="E30" s="521"/>
      <c r="F30" s="524"/>
      <c r="G30" s="63"/>
      <c r="H30" s="63"/>
    </row>
    <row r="31" spans="1:10">
      <c r="A31" s="71"/>
      <c r="B31" s="72"/>
      <c r="C31" s="32"/>
      <c r="D31" s="31"/>
      <c r="E31" s="521"/>
      <c r="F31" s="524"/>
      <c r="G31" s="63"/>
      <c r="H31" s="63"/>
    </row>
    <row r="32" spans="1:10">
      <c r="A32" s="71"/>
      <c r="B32" s="76"/>
      <c r="C32" s="32"/>
      <c r="D32" s="31"/>
      <c r="E32" s="522"/>
      <c r="F32" s="525"/>
      <c r="G32" s="63"/>
      <c r="H32" s="63"/>
    </row>
    <row r="33" spans="1:17">
      <c r="A33" s="71"/>
      <c r="B33" s="72"/>
      <c r="C33" s="516" t="s">
        <v>39</v>
      </c>
      <c r="D33" s="516"/>
      <c r="E33" s="516"/>
      <c r="F33" s="154">
        <v>2</v>
      </c>
      <c r="G33" s="66" t="s">
        <v>197</v>
      </c>
      <c r="H33" s="63"/>
    </row>
    <row r="34" spans="1:17">
      <c r="A34" s="71"/>
      <c r="B34" s="72"/>
      <c r="C34" s="152"/>
      <c r="D34" s="152"/>
      <c r="E34" s="152"/>
      <c r="F34" s="33"/>
      <c r="G34" s="63"/>
      <c r="H34" s="63"/>
    </row>
    <row r="35" spans="1:17">
      <c r="A35" s="65"/>
      <c r="B35" s="66" t="s">
        <v>40</v>
      </c>
      <c r="C35" s="66" t="s">
        <v>34</v>
      </c>
      <c r="D35" s="67" t="s">
        <v>35</v>
      </c>
      <c r="E35" s="68" t="s">
        <v>36</v>
      </c>
      <c r="F35" s="68" t="s">
        <v>37</v>
      </c>
      <c r="G35" s="63"/>
      <c r="H35" s="63"/>
    </row>
    <row r="36" spans="1:17">
      <c r="A36" s="65"/>
      <c r="B36" s="77" t="s">
        <v>38</v>
      </c>
      <c r="C36" s="69"/>
      <c r="D36" s="78"/>
      <c r="E36" s="79"/>
      <c r="F36" s="79"/>
      <c r="G36" s="63"/>
      <c r="H36" s="63"/>
    </row>
    <row r="37" spans="1:17">
      <c r="A37" s="63"/>
      <c r="B37" s="63"/>
      <c r="C37" s="73">
        <v>6</v>
      </c>
      <c r="D37" s="74">
        <v>5</v>
      </c>
      <c r="E37" s="517" t="s">
        <v>41</v>
      </c>
      <c r="F37" s="518" t="s">
        <v>42</v>
      </c>
      <c r="G37" s="63"/>
      <c r="H37" s="63"/>
    </row>
    <row r="38" spans="1:17">
      <c r="A38" s="63"/>
      <c r="B38" s="63"/>
      <c r="C38" s="80"/>
      <c r="D38" s="74"/>
      <c r="E38" s="517"/>
      <c r="F38" s="518"/>
      <c r="G38" s="63"/>
      <c r="H38" s="63"/>
    </row>
    <row r="39" spans="1:17">
      <c r="A39" s="63"/>
      <c r="B39" s="63"/>
      <c r="C39" s="80"/>
      <c r="D39" s="74"/>
      <c r="E39" s="517"/>
      <c r="F39" s="518"/>
      <c r="G39" s="63"/>
      <c r="H39" s="63"/>
      <c r="J39" s="54" t="s">
        <v>209</v>
      </c>
      <c r="K39" s="54">
        <v>330</v>
      </c>
      <c r="L39" s="54" t="s">
        <v>210</v>
      </c>
    </row>
    <row r="40" spans="1:17" ht="26.4">
      <c r="A40" s="63"/>
      <c r="B40" s="63"/>
      <c r="C40" s="80"/>
      <c r="D40" s="74"/>
      <c r="E40" s="517"/>
      <c r="F40" s="518"/>
      <c r="G40" s="63"/>
      <c r="H40" s="63"/>
      <c r="J40" s="54" t="s">
        <v>211</v>
      </c>
      <c r="K40" s="54">
        <v>15.24</v>
      </c>
      <c r="L40" s="54" t="s">
        <v>210</v>
      </c>
      <c r="M40" s="54" t="s">
        <v>213</v>
      </c>
      <c r="N40" s="54">
        <v>67.56</v>
      </c>
      <c r="O40" s="54" t="s">
        <v>214</v>
      </c>
      <c r="P40" s="54">
        <f>67.56*2/1000</f>
        <v>0.13512000000000002</v>
      </c>
    </row>
    <row r="41" spans="1:17">
      <c r="A41" s="63"/>
      <c r="B41" s="63"/>
      <c r="C41" s="519" t="s">
        <v>39</v>
      </c>
      <c r="D41" s="519"/>
      <c r="E41" s="519"/>
      <c r="F41" s="153">
        <v>3</v>
      </c>
      <c r="G41" s="66" t="s">
        <v>197</v>
      </c>
      <c r="H41" s="63"/>
    </row>
    <row r="42" spans="1:17">
      <c r="A42" s="63"/>
      <c r="B42" s="63"/>
      <c r="C42" s="81"/>
      <c r="D42" s="81"/>
      <c r="E42" s="81"/>
      <c r="F42" s="65"/>
      <c r="G42" s="63"/>
      <c r="H42" s="63"/>
      <c r="J42" s="54">
        <f>ROUNDUP(K39/K40,0)</f>
        <v>22</v>
      </c>
    </row>
    <row r="43" spans="1:17" ht="39.6">
      <c r="A43" s="63"/>
      <c r="B43" s="66" t="s">
        <v>50</v>
      </c>
      <c r="C43" s="81" t="s">
        <v>52</v>
      </c>
      <c r="D43" s="81" t="s">
        <v>53</v>
      </c>
      <c r="E43" s="81" t="s">
        <v>54</v>
      </c>
      <c r="F43" s="65" t="s">
        <v>55</v>
      </c>
      <c r="G43" s="63"/>
      <c r="H43" s="63"/>
      <c r="I43" s="54" t="s">
        <v>207</v>
      </c>
      <c r="J43" s="54" t="s">
        <v>216</v>
      </c>
      <c r="K43" s="157">
        <f>J42*18.1</f>
        <v>398.20000000000005</v>
      </c>
      <c r="L43" s="54" t="s">
        <v>206</v>
      </c>
      <c r="M43" s="157">
        <f>ROUND(K43*N40/1000,2)</f>
        <v>26.9</v>
      </c>
      <c r="N43" s="54" t="s">
        <v>82</v>
      </c>
      <c r="O43" s="54">
        <f>ROUND(M43*P43,2)</f>
        <v>32.28</v>
      </c>
      <c r="P43" s="54">
        <v>1.2</v>
      </c>
      <c r="Q43" s="54" t="s">
        <v>215</v>
      </c>
    </row>
    <row r="44" spans="1:17">
      <c r="A44" s="63"/>
      <c r="B44" s="63" t="s">
        <v>51</v>
      </c>
      <c r="C44" s="82">
        <f>F41+F33+F25</f>
        <v>39</v>
      </c>
      <c r="D44" s="82">
        <f>39*12</f>
        <v>468</v>
      </c>
      <c r="E44" s="82">
        <f>D44*C44</f>
        <v>18252</v>
      </c>
      <c r="F44" s="83">
        <f>E44/1000</f>
        <v>18.251999999999999</v>
      </c>
      <c r="G44" s="63"/>
      <c r="H44" s="63"/>
    </row>
    <row r="45" spans="1:17" ht="39.6">
      <c r="C45" s="85"/>
      <c r="D45" s="85"/>
      <c r="E45" s="85"/>
      <c r="F45" s="84"/>
      <c r="I45" s="54" t="s">
        <v>208</v>
      </c>
      <c r="J45" s="54" t="s">
        <v>217</v>
      </c>
      <c r="K45" s="54">
        <f>10*3.3</f>
        <v>33</v>
      </c>
      <c r="L45" s="54" t="s">
        <v>212</v>
      </c>
      <c r="M45" s="157">
        <f>ROUND(K45*N40/1000,2)</f>
        <v>2.23</v>
      </c>
      <c r="N45" s="54" t="s">
        <v>82</v>
      </c>
      <c r="O45" s="54">
        <f>ROUND(M45*P45,2)</f>
        <v>2.68</v>
      </c>
      <c r="P45" s="54">
        <v>1.2</v>
      </c>
      <c r="Q45" s="54" t="s">
        <v>215</v>
      </c>
    </row>
    <row r="46" spans="1:17">
      <c r="A46" s="63"/>
      <c r="B46" s="63"/>
      <c r="C46" s="81"/>
      <c r="D46" s="81"/>
      <c r="E46" s="81"/>
      <c r="F46" s="65"/>
      <c r="G46" s="63"/>
      <c r="H46" s="63"/>
      <c r="M46" s="157">
        <f>M45+M43</f>
        <v>29.13</v>
      </c>
      <c r="O46" s="157">
        <f>O45+O43</f>
        <v>34.96</v>
      </c>
    </row>
    <row r="47" spans="1:17">
      <c r="C47" s="85"/>
      <c r="D47" s="85"/>
      <c r="E47" s="85"/>
      <c r="F47" s="84"/>
    </row>
    <row r="48" spans="1:17">
      <c r="A48" s="55"/>
      <c r="B48" s="55" t="s">
        <v>3</v>
      </c>
      <c r="C48" s="55" t="s">
        <v>11</v>
      </c>
      <c r="D48" s="55" t="s">
        <v>46</v>
      </c>
      <c r="E48" s="55" t="s">
        <v>47</v>
      </c>
      <c r="F48" s="55" t="s">
        <v>48</v>
      </c>
      <c r="G48" s="56" t="s">
        <v>7</v>
      </c>
      <c r="H48" s="56" t="s">
        <v>10</v>
      </c>
    </row>
    <row r="49" spans="1:8">
      <c r="A49" s="43" t="str">
        <f>ORCAMENTO!A35</f>
        <v>5.1</v>
      </c>
      <c r="B49" s="44" t="str">
        <f>ORCAMENTO!D35</f>
        <v>Limpeza geral</v>
      </c>
      <c r="C49" s="45" t="s">
        <v>20</v>
      </c>
      <c r="D49" s="58">
        <v>10.3</v>
      </c>
      <c r="E49" s="58">
        <v>5</v>
      </c>
      <c r="F49" s="59"/>
      <c r="G49" s="60"/>
      <c r="H49" s="60">
        <f>E49*D49</f>
        <v>51.5</v>
      </c>
    </row>
    <row r="50" spans="1:8">
      <c r="C50" s="85"/>
      <c r="D50" s="85"/>
      <c r="E50" s="85"/>
      <c r="F50" s="84"/>
    </row>
    <row r="51" spans="1:8">
      <c r="C51" s="85"/>
      <c r="D51" s="85"/>
      <c r="E51" s="85"/>
      <c r="F51" s="84"/>
    </row>
    <row r="52" spans="1:8">
      <c r="C52" s="85"/>
      <c r="D52" s="85"/>
      <c r="E52" s="85"/>
      <c r="F52" s="84"/>
    </row>
  </sheetData>
  <mergeCells count="19">
    <mergeCell ref="A9:H9"/>
    <mergeCell ref="A11:H12"/>
    <mergeCell ref="B18:D18"/>
    <mergeCell ref="E21:E24"/>
    <mergeCell ref="F21:F24"/>
    <mergeCell ref="F10:H10"/>
    <mergeCell ref="C25:E25"/>
    <mergeCell ref="E37:E40"/>
    <mergeCell ref="F37:F40"/>
    <mergeCell ref="C41:E41"/>
    <mergeCell ref="E29:E32"/>
    <mergeCell ref="F29:F32"/>
    <mergeCell ref="C33:E33"/>
    <mergeCell ref="A8:H8"/>
    <mergeCell ref="A3:C3"/>
    <mergeCell ref="A4:E4"/>
    <mergeCell ref="A5:E5"/>
    <mergeCell ref="A6:H6"/>
    <mergeCell ref="A7:H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1"/>
  <sheetViews>
    <sheetView showGridLines="0" showOutlineSymbols="0" showWhiteSpace="0" view="pageBreakPreview" zoomScale="90" zoomScaleNormal="100" zoomScaleSheetLayoutView="90" workbookViewId="0">
      <selection activeCell="D10" sqref="D10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11.55468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7.109375" style="110" bestFit="1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825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/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/>
      <c r="J3" s="224"/>
      <c r="K3" s="222"/>
      <c r="L3" s="219"/>
      <c r="M3" s="219"/>
      <c r="N3" s="219"/>
    </row>
    <row r="4" spans="1:24">
      <c r="D4" s="219"/>
      <c r="E4" s="219"/>
      <c r="F4" s="219"/>
      <c r="G4" s="219"/>
      <c r="H4" s="219"/>
      <c r="I4" s="297"/>
      <c r="J4" s="224"/>
      <c r="K4" s="222"/>
      <c r="L4" s="219"/>
      <c r="M4" s="219"/>
      <c r="N4" s="219"/>
    </row>
    <row r="5" spans="1:24">
      <c r="D5" s="219"/>
      <c r="E5" s="219"/>
      <c r="F5" s="219"/>
      <c r="G5" s="219"/>
      <c r="H5" s="219"/>
      <c r="I5" s="297"/>
      <c r="J5" s="224"/>
      <c r="K5" s="222"/>
      <c r="L5" s="219"/>
      <c r="M5" s="219"/>
      <c r="N5" s="219"/>
    </row>
    <row r="6" spans="1:24">
      <c r="D6" s="219"/>
      <c r="E6" s="219"/>
      <c r="F6" s="219"/>
      <c r="G6" s="219"/>
      <c r="H6" s="219"/>
      <c r="I6" s="297"/>
      <c r="J6" s="224"/>
      <c r="K6" s="222"/>
      <c r="L6" s="219"/>
      <c r="M6" s="219"/>
      <c r="N6" s="219"/>
      <c r="P6" s="298" t="s">
        <v>556</v>
      </c>
      <c r="Q6" s="219">
        <f>17/4</f>
        <v>4.25</v>
      </c>
      <c r="R6" s="258">
        <v>5</v>
      </c>
      <c r="S6" s="259" t="s">
        <v>417</v>
      </c>
    </row>
    <row r="7" spans="1:24">
      <c r="D7" s="219"/>
      <c r="E7" s="219"/>
      <c r="F7" s="219"/>
      <c r="G7" s="219"/>
      <c r="H7" s="219"/>
      <c r="I7" s="297"/>
      <c r="J7" s="224"/>
      <c r="K7" s="222"/>
      <c r="L7" s="220"/>
      <c r="M7" s="219"/>
      <c r="N7" s="220"/>
      <c r="P7" s="298" t="s">
        <v>513</v>
      </c>
      <c r="Q7" s="219">
        <f>17/4</f>
        <v>4.25</v>
      </c>
      <c r="R7" s="258">
        <v>5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/>
      <c r="J8" s="224"/>
      <c r="K8" s="222"/>
      <c r="L8" s="219"/>
      <c r="M8" s="219"/>
      <c r="N8" s="219"/>
      <c r="P8" s="298" t="s">
        <v>514</v>
      </c>
      <c r="Q8" s="219">
        <f>19/4</f>
        <v>4.75</v>
      </c>
      <c r="R8" s="258">
        <v>4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/>
      <c r="J9" s="224"/>
      <c r="K9" s="222"/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/>
      <c r="J10" s="225"/>
      <c r="K10" s="222"/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9.7/4</f>
        <v>2.4249999999999998</v>
      </c>
      <c r="R12" s="258">
        <v>2</v>
      </c>
      <c r="S12" s="259" t="s">
        <v>417</v>
      </c>
    </row>
    <row r="13" spans="1:24" ht="39.6" customHeight="1">
      <c r="A13" s="330" t="s">
        <v>73</v>
      </c>
      <c r="B13" s="330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customHeight="1">
      <c r="A14" s="229" t="s">
        <v>350</v>
      </c>
      <c r="B14" s="229" t="s">
        <v>62</v>
      </c>
      <c r="C14" s="230" t="s">
        <v>22</v>
      </c>
      <c r="D14" s="230">
        <v>3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3</v>
      </c>
      <c r="O14" s="218" t="s">
        <v>392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customHeight="1">
      <c r="A16" s="229" t="s">
        <v>353</v>
      </c>
      <c r="B16" s="229" t="s">
        <v>354</v>
      </c>
      <c r="C16" s="230" t="s">
        <v>355</v>
      </c>
      <c r="D16" s="230">
        <v>2</v>
      </c>
      <c r="E16" s="231">
        <v>3</v>
      </c>
      <c r="F16" s="231">
        <v>3</v>
      </c>
      <c r="G16" s="232">
        <f>E16*F16</f>
        <v>9</v>
      </c>
      <c r="H16" s="232"/>
      <c r="I16" s="232"/>
      <c r="J16" s="232"/>
      <c r="K16" s="232"/>
      <c r="L16" s="232"/>
      <c r="M16" s="232"/>
      <c r="N16" s="233">
        <f>G16*D16</f>
        <v>18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customHeight="1">
      <c r="A18" s="229" t="s">
        <v>356</v>
      </c>
      <c r="B18" s="229" t="s">
        <v>357</v>
      </c>
      <c r="C18" s="230" t="s">
        <v>355</v>
      </c>
      <c r="D18" s="230">
        <v>3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13.5</v>
      </c>
      <c r="O18" s="218" t="s">
        <v>355</v>
      </c>
    </row>
    <row r="19" spans="1:15" s="217" customFormat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customHeight="1">
      <c r="A20" s="229" t="s">
        <v>358</v>
      </c>
      <c r="B20" s="229" t="s">
        <v>360</v>
      </c>
      <c r="C20" s="230" t="s">
        <v>22</v>
      </c>
      <c r="D20" s="230">
        <v>1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1</v>
      </c>
      <c r="O20" s="218" t="s">
        <v>392</v>
      </c>
    </row>
    <row r="21" spans="1:15" s="217" customFormat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</sheetData>
  <mergeCells count="1">
    <mergeCell ref="A1:N1"/>
  </mergeCells>
  <pageMargins left="0.51181102362204722" right="0.51181102362204722" top="0.98425196850393704" bottom="0.98425196850393704" header="0.51181102362204722" footer="0.51181102362204722"/>
  <pageSetup paperSize="9" scale="47" fitToHeight="0" orientation="portrait" r:id="rId1"/>
  <headerFooter>
    <oddHeader>&amp;L &amp;C &amp;R</oddHeader>
    <oddFooter>&amp;L &amp;C
 &amp;R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V179"/>
  <sheetViews>
    <sheetView showGridLines="0" view="pageBreakPreview" topLeftCell="A86" zoomScale="70" zoomScaleNormal="100" zoomScaleSheetLayoutView="70" workbookViewId="0">
      <selection activeCell="M94" sqref="M94"/>
    </sheetView>
  </sheetViews>
  <sheetFormatPr defaultColWidth="9.109375" defaultRowHeight="15.6"/>
  <cols>
    <col min="1" max="1" width="17" style="162" customWidth="1"/>
    <col min="2" max="2" width="14.44140625" style="162" customWidth="1"/>
    <col min="3" max="4" width="9.109375" style="162"/>
    <col min="5" max="5" width="28.109375" style="162" customWidth="1"/>
    <col min="6" max="6" width="14.6640625" style="162" customWidth="1"/>
    <col min="7" max="7" width="26.44140625" style="162" customWidth="1"/>
    <col min="8" max="8" width="13" style="162" customWidth="1"/>
    <col min="9" max="9" width="12.109375" style="162" customWidth="1"/>
    <col min="10" max="10" width="11.109375" style="162" customWidth="1"/>
    <col min="11" max="11" width="13.88671875" style="162" customWidth="1"/>
    <col min="12" max="12" width="11" style="162" bestFit="1" customWidth="1"/>
    <col min="13" max="13" width="17.44140625" style="162" customWidth="1"/>
    <col min="14" max="14" width="18.33203125" style="162" customWidth="1"/>
    <col min="15" max="15" width="19" style="162" bestFit="1" customWidth="1"/>
    <col min="16" max="16" width="17.44140625" style="162" bestFit="1" customWidth="1"/>
    <col min="17" max="17" width="13.44140625" style="162" bestFit="1" customWidth="1"/>
    <col min="18" max="19" width="9.109375" style="162"/>
    <col min="20" max="20" width="9.44140625" style="162" bestFit="1" customWidth="1"/>
    <col min="21" max="21" width="11.109375" style="162" bestFit="1" customWidth="1"/>
    <col min="22" max="16384" width="9.109375" style="162"/>
  </cols>
  <sheetData>
    <row r="1" spans="1:17" ht="110.25" customHeight="1"/>
    <row r="2" spans="1:17">
      <c r="A2" s="163" t="str">
        <f>'[6]RESUMO GERAL'!A2</f>
        <v>OBJETO:</v>
      </c>
      <c r="B2" s="162" t="str">
        <f>'[6]RESUMO GERAL'!B2</f>
        <v>Recuperação de Estradas Vicinais no Município de Icatu/MA</v>
      </c>
    </row>
    <row r="3" spans="1:17">
      <c r="A3" s="163" t="str">
        <f>'[6]RESUMO GERAL'!A3</f>
        <v>LOCAL:</v>
      </c>
      <c r="B3" s="162" t="str">
        <f>'[6]RESUMO GERAL'!B3</f>
        <v>Icatu - MA</v>
      </c>
    </row>
    <row r="4" spans="1:17">
      <c r="A4" s="163" t="str">
        <f>'[6]RESUMO GERAL'!A4</f>
        <v>PROPONENTE:</v>
      </c>
      <c r="B4" s="162" t="str">
        <f>'[6]RESUMO GERAL'!B4</f>
        <v>Prefeitura Municipal de Icatu-MA</v>
      </c>
    </row>
    <row r="5" spans="1:17">
      <c r="A5" s="163" t="str">
        <f>'[6]RESUMO GERAL'!A5</f>
        <v>DATA REF.:</v>
      </c>
      <c r="B5" s="162" t="str">
        <f>'[6]RESUMO GERAL'!B5</f>
        <v>SINAPI 01/2022 E DNIT SICRO 3 10/2021</v>
      </c>
    </row>
    <row r="6" spans="1:17" s="165" customFormat="1" ht="31.2">
      <c r="A6" s="164" t="str">
        <f>'[6]RESUMO GERAL'!A6</f>
        <v>ENCARGOS SOCIAIS:</v>
      </c>
      <c r="B6" s="165" t="str">
        <f>'[6]RESUMO GERAL'!B6</f>
        <v>112,90 % e 70,87% - não desonerado</v>
      </c>
    </row>
    <row r="7" spans="1:17">
      <c r="A7" s="163" t="str">
        <f>'[6]RESUMO GERAL'!A7</f>
        <v>BDI:</v>
      </c>
      <c r="B7" s="166">
        <f>'[6]RESUMO GERAL'!B7</f>
        <v>0.24229999999999999</v>
      </c>
    </row>
    <row r="9" spans="1:17">
      <c r="A9" s="530" t="s">
        <v>227</v>
      </c>
      <c r="B9" s="530"/>
      <c r="C9" s="530"/>
      <c r="D9" s="530"/>
      <c r="E9" s="530"/>
      <c r="F9" s="530"/>
      <c r="G9" s="530"/>
      <c r="H9" s="530"/>
      <c r="I9" s="530"/>
      <c r="J9" s="530"/>
      <c r="K9" s="530"/>
      <c r="L9" s="530"/>
      <c r="M9" s="530"/>
      <c r="N9" s="530"/>
      <c r="P9" s="167" t="s">
        <v>228</v>
      </c>
    </row>
    <row r="10" spans="1:17" ht="9" customHeight="1"/>
    <row r="11" spans="1:17" hidden="1">
      <c r="A11" s="168" t="s">
        <v>12</v>
      </c>
      <c r="B11" s="168" t="s">
        <v>229</v>
      </c>
      <c r="C11" s="169" t="str">
        <f>'[6]MEMÓRIA DE CÁLCULO'!$C$25</f>
        <v>Elaboração de Projeto Executivo</v>
      </c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1">
        <f>N34+N42</f>
        <v>29442.715</v>
      </c>
      <c r="P11" s="172">
        <v>16747.57</v>
      </c>
      <c r="Q11" s="167"/>
    </row>
    <row r="12" spans="1:17" s="174" customFormat="1" ht="2.25" hidden="1" customHeight="1">
      <c r="A12" s="173"/>
      <c r="B12" s="173"/>
      <c r="K12" s="173"/>
      <c r="L12" s="175"/>
      <c r="M12" s="176"/>
      <c r="N12" s="177"/>
    </row>
    <row r="13" spans="1:17" hidden="1">
      <c r="C13" s="163" t="s">
        <v>230</v>
      </c>
      <c r="K13" s="178" t="s">
        <v>22</v>
      </c>
      <c r="L13" s="178" t="s">
        <v>64</v>
      </c>
      <c r="M13" s="178" t="s">
        <v>63</v>
      </c>
      <c r="N13" s="178" t="s">
        <v>65</v>
      </c>
    </row>
    <row r="14" spans="1:17" hidden="1">
      <c r="A14" s="179" t="s">
        <v>23</v>
      </c>
      <c r="B14" s="179">
        <v>93565</v>
      </c>
      <c r="C14" s="162" t="s">
        <v>231</v>
      </c>
      <c r="K14" s="179" t="s">
        <v>203</v>
      </c>
      <c r="L14" s="180">
        <v>1.4137457</v>
      </c>
      <c r="M14" s="181">
        <v>16399.52</v>
      </c>
      <c r="N14" s="167">
        <f>ROUND(M14*L14,2)</f>
        <v>23184.75</v>
      </c>
      <c r="P14" s="182">
        <f>'[6]ORÇAMENTO GERAL'!J15</f>
        <v>40776.699999999997</v>
      </c>
    </row>
    <row r="15" spans="1:17" hidden="1">
      <c r="A15" s="179" t="s">
        <v>23</v>
      </c>
      <c r="B15" s="179">
        <v>94296</v>
      </c>
      <c r="C15" s="162" t="s">
        <v>232</v>
      </c>
      <c r="K15" s="179" t="s">
        <v>203</v>
      </c>
      <c r="L15" s="180">
        <v>1</v>
      </c>
      <c r="M15" s="181">
        <v>4457.71</v>
      </c>
      <c r="N15" s="167">
        <f>ROUND(M15*L15,2)</f>
        <v>4457.71</v>
      </c>
    </row>
    <row r="16" spans="1:17" hidden="1">
      <c r="A16" s="179" t="s">
        <v>23</v>
      </c>
      <c r="B16" s="179">
        <v>101389</v>
      </c>
      <c r="C16" s="162" t="s">
        <v>233</v>
      </c>
      <c r="K16" s="179" t="s">
        <v>203</v>
      </c>
      <c r="L16" s="180">
        <v>1</v>
      </c>
      <c r="M16" s="181">
        <v>1988.13</v>
      </c>
      <c r="N16" s="167">
        <f>ROUND(M16*L16,2)</f>
        <v>1988.13</v>
      </c>
    </row>
    <row r="17" spans="1:22" hidden="1">
      <c r="A17" s="179"/>
      <c r="B17" s="179"/>
      <c r="K17" s="179"/>
      <c r="L17" s="180"/>
      <c r="M17" s="183" t="s">
        <v>234</v>
      </c>
      <c r="N17" s="184">
        <f>SUM(N14:N16)</f>
        <v>29630.59</v>
      </c>
      <c r="P17" s="184"/>
    </row>
    <row r="18" spans="1:22" hidden="1">
      <c r="C18" s="163" t="s">
        <v>235</v>
      </c>
      <c r="K18" s="178" t="s">
        <v>22</v>
      </c>
      <c r="L18" s="178" t="s">
        <v>64</v>
      </c>
      <c r="M18" s="178" t="s">
        <v>63</v>
      </c>
      <c r="N18" s="178" t="s">
        <v>65</v>
      </c>
    </row>
    <row r="19" spans="1:22" hidden="1">
      <c r="A19" s="179" t="s">
        <v>23</v>
      </c>
      <c r="B19" s="179">
        <v>92144</v>
      </c>
      <c r="C19" s="162" t="s">
        <v>236</v>
      </c>
      <c r="K19" s="179" t="s">
        <v>66</v>
      </c>
      <c r="L19" s="179">
        <v>50</v>
      </c>
      <c r="M19" s="181">
        <v>43.55</v>
      </c>
      <c r="N19" s="167">
        <f>ROUND(M19*L19,2)</f>
        <v>2177.5</v>
      </c>
    </row>
    <row r="20" spans="1:22" hidden="1">
      <c r="A20" s="179" t="s">
        <v>237</v>
      </c>
      <c r="B20" s="179">
        <v>4221</v>
      </c>
      <c r="C20" s="162" t="s">
        <v>238</v>
      </c>
      <c r="K20" s="179" t="s">
        <v>239</v>
      </c>
      <c r="L20" s="179">
        <v>169.999</v>
      </c>
      <c r="M20" s="181">
        <v>5.41</v>
      </c>
      <c r="N20" s="167">
        <f>ROUND(M20*L20,2)</f>
        <v>919.69</v>
      </c>
    </row>
    <row r="21" spans="1:22" hidden="1">
      <c r="A21" s="179"/>
      <c r="B21" s="179"/>
      <c r="K21" s="179"/>
      <c r="L21" s="179"/>
      <c r="M21" s="183" t="s">
        <v>234</v>
      </c>
      <c r="N21" s="184">
        <f>SUM(N19:N20)</f>
        <v>3097.19</v>
      </c>
      <c r="P21" s="167">
        <v>3766.8</v>
      </c>
    </row>
    <row r="22" spans="1:22" hidden="1">
      <c r="C22" s="163" t="s">
        <v>240</v>
      </c>
      <c r="K22" s="178" t="s">
        <v>22</v>
      </c>
      <c r="L22" s="178" t="s">
        <v>64</v>
      </c>
      <c r="M22" s="178" t="s">
        <v>63</v>
      </c>
      <c r="N22" s="178" t="s">
        <v>65</v>
      </c>
      <c r="S22" s="185"/>
      <c r="T22" s="185"/>
      <c r="U22" s="185"/>
      <c r="V22" s="185"/>
    </row>
    <row r="23" spans="1:22" hidden="1">
      <c r="A23" s="179" t="s">
        <v>237</v>
      </c>
      <c r="B23" s="179">
        <v>7247</v>
      </c>
      <c r="C23" s="186" t="s">
        <v>241</v>
      </c>
      <c r="D23" s="179"/>
      <c r="E23" s="179"/>
      <c r="F23" s="179"/>
      <c r="G23" s="179"/>
      <c r="H23" s="179"/>
      <c r="I23" s="179"/>
      <c r="J23" s="179"/>
      <c r="K23" s="179" t="s">
        <v>66</v>
      </c>
      <c r="L23" s="179">
        <v>30</v>
      </c>
      <c r="M23" s="181">
        <v>2.25</v>
      </c>
      <c r="N23" s="181">
        <f>ROUND(M23*L23,2)</f>
        <v>67.5</v>
      </c>
      <c r="S23" s="185"/>
      <c r="T23" s="187" t="s">
        <v>242</v>
      </c>
      <c r="U23" s="188">
        <v>73.400000000000006</v>
      </c>
      <c r="V23" s="189" t="s">
        <v>243</v>
      </c>
    </row>
    <row r="24" spans="1:22" hidden="1">
      <c r="A24" s="179"/>
      <c r="B24" s="179"/>
      <c r="C24" s="186"/>
      <c r="D24" s="179"/>
      <c r="E24" s="179"/>
      <c r="F24" s="179"/>
      <c r="G24" s="179"/>
      <c r="H24" s="179"/>
      <c r="I24" s="179"/>
      <c r="J24" s="179"/>
      <c r="K24" s="179"/>
      <c r="L24" s="179"/>
      <c r="M24" s="183" t="s">
        <v>234</v>
      </c>
      <c r="N24" s="183">
        <f>N23</f>
        <v>67.5</v>
      </c>
      <c r="P24" s="183">
        <v>68.099999999999994</v>
      </c>
      <c r="S24" s="185"/>
      <c r="T24" s="187" t="s">
        <v>244</v>
      </c>
      <c r="U24" s="188">
        <v>25</v>
      </c>
      <c r="V24" s="189" t="s">
        <v>243</v>
      </c>
    </row>
    <row r="25" spans="1:22" hidden="1">
      <c r="A25" s="179"/>
      <c r="B25" s="179"/>
      <c r="C25" s="186"/>
      <c r="D25" s="179"/>
      <c r="E25" s="179"/>
      <c r="F25" s="179"/>
      <c r="G25" s="179"/>
      <c r="H25" s="179"/>
      <c r="I25" s="179"/>
      <c r="J25" s="179"/>
      <c r="K25" s="179"/>
      <c r="L25" s="179"/>
      <c r="M25" s="183"/>
      <c r="N25" s="183"/>
      <c r="P25" s="183"/>
      <c r="S25" s="190"/>
      <c r="T25" s="191" t="s">
        <v>245</v>
      </c>
      <c r="U25" s="192">
        <v>8</v>
      </c>
      <c r="V25" s="193" t="s">
        <v>246</v>
      </c>
    </row>
    <row r="26" spans="1:22" hidden="1">
      <c r="A26" s="179"/>
      <c r="B26" s="179"/>
      <c r="C26" s="186"/>
      <c r="D26" s="179"/>
      <c r="E26" s="179"/>
      <c r="F26" s="179"/>
      <c r="G26" s="179"/>
      <c r="H26" s="179"/>
      <c r="I26" s="179"/>
      <c r="J26" s="179"/>
      <c r="K26" s="179"/>
      <c r="L26" s="531" t="s">
        <v>247</v>
      </c>
      <c r="M26" s="531"/>
      <c r="N26" s="183">
        <f>N17</f>
        <v>29630.59</v>
      </c>
      <c r="P26" s="183"/>
      <c r="S26" s="185"/>
      <c r="T26" s="187" t="s">
        <v>248</v>
      </c>
      <c r="U26" s="188">
        <v>24.107574</v>
      </c>
      <c r="V26" s="189" t="s">
        <v>249</v>
      </c>
    </row>
    <row r="27" spans="1:22" hidden="1">
      <c r="A27" s="179"/>
      <c r="B27" s="179"/>
      <c r="C27" s="186"/>
      <c r="D27" s="179"/>
      <c r="E27" s="179"/>
      <c r="F27" s="179"/>
      <c r="G27" s="179"/>
      <c r="H27" s="179"/>
      <c r="I27" s="179"/>
      <c r="J27" s="179"/>
      <c r="K27" s="179"/>
      <c r="L27" s="179"/>
      <c r="M27" s="183"/>
      <c r="N27" s="183"/>
      <c r="P27" s="183"/>
      <c r="S27" s="185"/>
      <c r="T27" s="187" t="s">
        <v>250</v>
      </c>
      <c r="U27" s="188">
        <f>'[6]Memória de Cálculo - trecho 1'!P10+'[6]Memória de Cálculo - trecho 2'!P10</f>
        <v>20210</v>
      </c>
      <c r="V27" s="189" t="s">
        <v>28</v>
      </c>
    </row>
    <row r="28" spans="1:22" hidden="1">
      <c r="A28" s="179"/>
      <c r="B28" s="179"/>
      <c r="C28" s="186"/>
      <c r="D28" s="179"/>
      <c r="E28" s="179"/>
      <c r="F28" s="179"/>
      <c r="G28" s="179"/>
      <c r="H28" s="529" t="s">
        <v>251</v>
      </c>
      <c r="I28" s="529"/>
      <c r="J28" s="529"/>
      <c r="K28" s="529"/>
      <c r="L28" s="529"/>
      <c r="M28" s="529"/>
      <c r="N28" s="183">
        <f>SUM(N21,N24)</f>
        <v>3164.69</v>
      </c>
      <c r="P28" s="183"/>
    </row>
    <row r="29" spans="1:22" hidden="1">
      <c r="A29" s="179"/>
      <c r="B29" s="179"/>
      <c r="C29" s="186"/>
      <c r="D29" s="179"/>
      <c r="E29" s="179"/>
      <c r="F29" s="179"/>
      <c r="G29" s="179"/>
      <c r="H29" s="529" t="s">
        <v>252</v>
      </c>
      <c r="I29" s="529"/>
      <c r="J29" s="529"/>
      <c r="K29" s="529"/>
      <c r="L29" s="529"/>
      <c r="M29" s="529"/>
      <c r="N29" s="183">
        <f>N28+N26</f>
        <v>32795.279999999999</v>
      </c>
      <c r="P29" s="183"/>
    </row>
    <row r="30" spans="1:22" hidden="1">
      <c r="A30" s="179"/>
      <c r="B30" s="179"/>
      <c r="C30" s="186"/>
      <c r="D30" s="179"/>
      <c r="E30" s="179"/>
      <c r="F30" s="179"/>
      <c r="G30" s="179"/>
      <c r="H30" s="529" t="s">
        <v>253</v>
      </c>
      <c r="I30" s="529"/>
      <c r="J30" s="529"/>
      <c r="K30" s="529"/>
      <c r="L30" s="529"/>
      <c r="M30" s="529"/>
      <c r="N30" s="183">
        <f>N29*O30</f>
        <v>1967.7167999999999</v>
      </c>
      <c r="O30" s="194">
        <v>0.06</v>
      </c>
      <c r="P30" s="183"/>
    </row>
    <row r="31" spans="1:22" hidden="1">
      <c r="A31" s="179"/>
      <c r="B31" s="179"/>
      <c r="C31" s="186"/>
      <c r="D31" s="179"/>
      <c r="E31" s="179"/>
      <c r="F31" s="179"/>
      <c r="G31" s="529" t="s">
        <v>254</v>
      </c>
      <c r="H31" s="529"/>
      <c r="I31" s="529"/>
      <c r="J31" s="529"/>
      <c r="K31" s="529"/>
      <c r="L31" s="529"/>
      <c r="M31" s="529"/>
      <c r="N31" s="183">
        <f>N30+N29</f>
        <v>34762.996800000001</v>
      </c>
      <c r="P31" s="183"/>
    </row>
    <row r="32" spans="1:22" hidden="1">
      <c r="A32" s="179"/>
      <c r="B32" s="179"/>
      <c r="C32" s="186"/>
      <c r="D32" s="179"/>
      <c r="E32" s="179"/>
      <c r="F32" s="179"/>
      <c r="G32" s="179"/>
      <c r="H32" s="179"/>
      <c r="I32" s="179"/>
      <c r="J32" s="179"/>
      <c r="K32" s="179"/>
      <c r="L32" s="179"/>
      <c r="M32" s="183"/>
      <c r="N32" s="183"/>
      <c r="P32" s="183"/>
    </row>
    <row r="33" spans="1:16" hidden="1">
      <c r="A33" s="529" t="s">
        <v>255</v>
      </c>
      <c r="B33" s="529"/>
      <c r="C33" s="529"/>
      <c r="D33" s="529"/>
      <c r="E33" s="529"/>
      <c r="F33" s="529"/>
      <c r="G33" s="529"/>
      <c r="H33" s="529"/>
      <c r="I33" s="529"/>
      <c r="J33" s="529"/>
      <c r="K33" s="529"/>
      <c r="L33" s="529"/>
      <c r="M33" s="529"/>
      <c r="N33" s="183">
        <f>N31</f>
        <v>34762.996800000001</v>
      </c>
      <c r="P33" s="183"/>
    </row>
    <row r="34" spans="1:16" hidden="1">
      <c r="A34" s="529" t="str">
        <f>CONCATENATE("SUBTOTAL LEV. PLANIALTIMÉTRICO (CONSIDERANDO UMA PRODUTIVIDADE DE  ",U26," km/DIA)"&amp;"):")</f>
        <v>SUBTOTAL LEV. PLANIALTIMÉTRICO (CONSIDERANDO UMA PRODUTIVIDADE DE  24,107574 km/DIA)):</v>
      </c>
      <c r="B34" s="529"/>
      <c r="C34" s="529"/>
      <c r="D34" s="529"/>
      <c r="E34" s="529"/>
      <c r="F34" s="529"/>
      <c r="G34" s="529"/>
      <c r="H34" s="529"/>
      <c r="I34" s="529"/>
      <c r="J34" s="529"/>
      <c r="K34" s="529"/>
      <c r="L34" s="529"/>
      <c r="M34" s="529"/>
      <c r="N34" s="183">
        <f>ROUND(((U27)/U26/1000)*N33,3)</f>
        <v>29142.715</v>
      </c>
      <c r="P34" s="183"/>
    </row>
    <row r="35" spans="1:16" hidden="1">
      <c r="A35" s="529" t="s">
        <v>256</v>
      </c>
      <c r="B35" s="529"/>
      <c r="C35" s="529"/>
      <c r="D35" s="529"/>
      <c r="E35" s="529"/>
      <c r="F35" s="529"/>
      <c r="G35" s="529"/>
      <c r="H35" s="529"/>
      <c r="I35" s="529"/>
      <c r="J35" s="529"/>
      <c r="K35" s="529"/>
      <c r="L35" s="529"/>
      <c r="M35" s="529"/>
      <c r="N35" s="183">
        <f>N34*O35</f>
        <v>6764.0241514999998</v>
      </c>
      <c r="O35" s="194">
        <v>0.2321</v>
      </c>
      <c r="P35" s="183"/>
    </row>
    <row r="36" spans="1:16" hidden="1">
      <c r="A36" s="529" t="s">
        <v>257</v>
      </c>
      <c r="B36" s="529"/>
      <c r="C36" s="529"/>
      <c r="D36" s="529"/>
      <c r="E36" s="529"/>
      <c r="F36" s="529"/>
      <c r="G36" s="529"/>
      <c r="H36" s="529"/>
      <c r="I36" s="529"/>
      <c r="J36" s="529"/>
      <c r="K36" s="529"/>
      <c r="L36" s="529"/>
      <c r="M36" s="529"/>
      <c r="N36" s="183">
        <f>N35+N34</f>
        <v>35906.739151499998</v>
      </c>
      <c r="P36" s="183"/>
    </row>
    <row r="37" spans="1:16" hidden="1">
      <c r="A37" s="179"/>
      <c r="B37" s="179"/>
      <c r="C37" s="186"/>
      <c r="D37" s="179"/>
      <c r="E37" s="179"/>
      <c r="F37" s="179"/>
      <c r="G37" s="179"/>
      <c r="H37" s="179"/>
      <c r="I37" s="179"/>
      <c r="J37" s="179"/>
      <c r="K37" s="179"/>
      <c r="L37" s="179"/>
      <c r="M37" s="183"/>
      <c r="N37" s="183"/>
      <c r="P37" s="183"/>
    </row>
    <row r="38" spans="1:16" hidden="1">
      <c r="C38" s="163" t="s">
        <v>258</v>
      </c>
      <c r="K38" s="178" t="s">
        <v>22</v>
      </c>
      <c r="L38" s="178" t="s">
        <v>64</v>
      </c>
      <c r="M38" s="178" t="s">
        <v>63</v>
      </c>
      <c r="N38" s="178" t="s">
        <v>65</v>
      </c>
    </row>
    <row r="39" spans="1:16" hidden="1">
      <c r="A39" s="179" t="s">
        <v>259</v>
      </c>
      <c r="B39" s="179">
        <v>1</v>
      </c>
      <c r="C39" s="162" t="s">
        <v>260</v>
      </c>
      <c r="K39" s="179" t="s">
        <v>72</v>
      </c>
      <c r="L39" s="179">
        <v>50</v>
      </c>
      <c r="M39" s="181">
        <v>6</v>
      </c>
      <c r="N39" s="181">
        <f>ROUND(M39*L39,2)</f>
        <v>300</v>
      </c>
    </row>
    <row r="40" spans="1:16" hidden="1">
      <c r="M40" s="183" t="s">
        <v>234</v>
      </c>
      <c r="N40" s="183">
        <f>N39</f>
        <v>300</v>
      </c>
    </row>
    <row r="41" spans="1:16" hidden="1">
      <c r="M41" s="183"/>
      <c r="N41" s="183"/>
    </row>
    <row r="42" spans="1:16" hidden="1">
      <c r="A42" s="529" t="s">
        <v>261</v>
      </c>
      <c r="B42" s="529"/>
      <c r="C42" s="529"/>
      <c r="D42" s="529"/>
      <c r="E42" s="529"/>
      <c r="F42" s="529"/>
      <c r="G42" s="529"/>
      <c r="H42" s="529"/>
      <c r="I42" s="529"/>
      <c r="J42" s="529"/>
      <c r="K42" s="529"/>
      <c r="L42" s="529"/>
      <c r="M42" s="529"/>
      <c r="N42" s="183">
        <f>N40</f>
        <v>300</v>
      </c>
    </row>
    <row r="43" spans="1:16" hidden="1">
      <c r="A43" s="529" t="s">
        <v>262</v>
      </c>
      <c r="B43" s="529"/>
      <c r="C43" s="529"/>
      <c r="D43" s="529"/>
      <c r="E43" s="529"/>
      <c r="F43" s="529"/>
      <c r="G43" s="529"/>
      <c r="H43" s="529"/>
      <c r="I43" s="529"/>
      <c r="J43" s="529"/>
      <c r="K43" s="529"/>
      <c r="L43" s="529"/>
      <c r="M43" s="529"/>
      <c r="N43" s="183">
        <f>N42*O35</f>
        <v>69.63</v>
      </c>
    </row>
    <row r="44" spans="1:16" hidden="1">
      <c r="A44" s="529" t="s">
        <v>263</v>
      </c>
      <c r="B44" s="529"/>
      <c r="C44" s="529"/>
      <c r="D44" s="529"/>
      <c r="E44" s="529"/>
      <c r="F44" s="529"/>
      <c r="G44" s="529"/>
      <c r="H44" s="529"/>
      <c r="I44" s="529"/>
      <c r="J44" s="529"/>
      <c r="K44" s="529"/>
      <c r="L44" s="529"/>
      <c r="M44" s="529"/>
      <c r="N44" s="183">
        <f>N43+N42</f>
        <v>369.63</v>
      </c>
    </row>
    <row r="45" spans="1:16" hidden="1">
      <c r="M45" s="183"/>
      <c r="N45" s="183"/>
    </row>
    <row r="46" spans="1:16" hidden="1">
      <c r="A46" s="532" t="s">
        <v>264</v>
      </c>
      <c r="B46" s="533"/>
      <c r="C46" s="533"/>
      <c r="D46" s="533"/>
      <c r="E46" s="533"/>
      <c r="F46" s="533"/>
      <c r="G46" s="533"/>
      <c r="H46" s="533"/>
      <c r="I46" s="533"/>
      <c r="J46" s="533"/>
      <c r="K46" s="533"/>
      <c r="L46" s="533"/>
      <c r="M46" s="534">
        <f>N44+N36</f>
        <v>36276.369151499995</v>
      </c>
      <c r="N46" s="534"/>
      <c r="O46" s="167">
        <v>40776.699999999997</v>
      </c>
      <c r="P46" s="162">
        <f>ROUND(M46/1.2321,2)</f>
        <v>29442.720000000001</v>
      </c>
    </row>
    <row r="47" spans="1:16" hidden="1">
      <c r="M47" s="183"/>
      <c r="N47" s="183"/>
    </row>
    <row r="48" spans="1:16" hidden="1"/>
    <row r="49" spans="1:14">
      <c r="A49" s="168" t="s">
        <v>26</v>
      </c>
      <c r="B49" s="168" t="s">
        <v>265</v>
      </c>
      <c r="C49" s="169" t="str">
        <f>'[6]MEMÓRIA DE CÁLCULO'!$C$28</f>
        <v>Placa de obra em aço galvanizado, com dimensões 5,00 x 2,50 m</v>
      </c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1">
        <f>N54+N60</f>
        <v>234.27</v>
      </c>
    </row>
    <row r="50" spans="1:14" s="174" customFormat="1" ht="2.25" customHeight="1">
      <c r="A50" s="173"/>
      <c r="B50" s="173"/>
      <c r="K50" s="173"/>
      <c r="L50" s="175"/>
      <c r="M50" s="176"/>
      <c r="N50" s="177"/>
    </row>
    <row r="51" spans="1:14">
      <c r="C51" s="163" t="s">
        <v>230</v>
      </c>
      <c r="K51" s="178" t="s">
        <v>22</v>
      </c>
      <c r="L51" s="178" t="s">
        <v>64</v>
      </c>
      <c r="M51" s="178" t="s">
        <v>63</v>
      </c>
      <c r="N51" s="178" t="s">
        <v>65</v>
      </c>
    </row>
    <row r="52" spans="1:14">
      <c r="A52" s="179" t="s">
        <v>237</v>
      </c>
      <c r="B52" s="179">
        <v>1213</v>
      </c>
      <c r="C52" s="162" t="s">
        <v>266</v>
      </c>
      <c r="K52" s="179" t="s">
        <v>66</v>
      </c>
      <c r="L52" s="179">
        <v>0.05</v>
      </c>
      <c r="M52" s="181">
        <v>16.18</v>
      </c>
      <c r="N52" s="181">
        <f>ROUND(M52*L52,2)</f>
        <v>0.81</v>
      </c>
    </row>
    <row r="53" spans="1:14">
      <c r="A53" s="179" t="s">
        <v>237</v>
      </c>
      <c r="B53" s="179">
        <v>6111</v>
      </c>
      <c r="C53" s="162" t="s">
        <v>267</v>
      </c>
      <c r="K53" s="179" t="s">
        <v>66</v>
      </c>
      <c r="L53" s="179">
        <v>0.08</v>
      </c>
      <c r="M53" s="181">
        <v>11.9</v>
      </c>
      <c r="N53" s="181">
        <f>ROUND(M53*L53,2)</f>
        <v>0.95</v>
      </c>
    </row>
    <row r="54" spans="1:14">
      <c r="M54" s="183" t="s">
        <v>234</v>
      </c>
      <c r="N54" s="184">
        <f>SUM(N52:N53)</f>
        <v>1.76</v>
      </c>
    </row>
    <row r="55" spans="1:14">
      <c r="C55" s="163" t="s">
        <v>258</v>
      </c>
      <c r="K55" s="178" t="s">
        <v>22</v>
      </c>
      <c r="L55" s="178" t="s">
        <v>64</v>
      </c>
      <c r="M55" s="178" t="s">
        <v>63</v>
      </c>
      <c r="N55" s="178" t="s">
        <v>65</v>
      </c>
    </row>
    <row r="56" spans="1:14">
      <c r="A56" s="179" t="s">
        <v>237</v>
      </c>
      <c r="B56" s="179">
        <v>4417</v>
      </c>
      <c r="C56" s="186" t="s">
        <v>268</v>
      </c>
      <c r="D56" s="179"/>
      <c r="E56" s="179"/>
      <c r="F56" s="179"/>
      <c r="G56" s="179"/>
      <c r="H56" s="179"/>
      <c r="I56" s="179"/>
      <c r="J56" s="179"/>
      <c r="K56" s="179" t="s">
        <v>28</v>
      </c>
      <c r="L56" s="179">
        <v>0.20899999999999999</v>
      </c>
      <c r="M56" s="181">
        <v>8.6999999999999993</v>
      </c>
      <c r="N56" s="181">
        <f>ROUND(M56*L56,2)</f>
        <v>1.82</v>
      </c>
    </row>
    <row r="57" spans="1:14">
      <c r="A57" s="179" t="s">
        <v>237</v>
      </c>
      <c r="B57" s="179">
        <v>4491</v>
      </c>
      <c r="C57" s="186" t="s">
        <v>269</v>
      </c>
      <c r="D57" s="179"/>
      <c r="E57" s="179"/>
      <c r="F57" s="179"/>
      <c r="G57" s="179"/>
      <c r="H57" s="179"/>
      <c r="I57" s="179"/>
      <c r="J57" s="179"/>
      <c r="K57" s="179" t="s">
        <v>28</v>
      </c>
      <c r="L57" s="179">
        <v>0.19</v>
      </c>
      <c r="M57" s="181">
        <v>10.25</v>
      </c>
      <c r="N57" s="181">
        <f>ROUND(M57*L57,2)</f>
        <v>1.95</v>
      </c>
    </row>
    <row r="58" spans="1:14">
      <c r="A58" s="179" t="s">
        <v>237</v>
      </c>
      <c r="B58" s="179">
        <v>4813</v>
      </c>
      <c r="C58" s="186" t="s">
        <v>270</v>
      </c>
      <c r="D58" s="179"/>
      <c r="E58" s="179"/>
      <c r="F58" s="179"/>
      <c r="G58" s="179"/>
      <c r="H58" s="179"/>
      <c r="I58" s="179"/>
      <c r="J58" s="179"/>
      <c r="K58" s="179" t="s">
        <v>271</v>
      </c>
      <c r="L58" s="180">
        <v>1</v>
      </c>
      <c r="M58" s="181">
        <v>225</v>
      </c>
      <c r="N58" s="181">
        <f>ROUND(M58*L58,2)</f>
        <v>225</v>
      </c>
    </row>
    <row r="59" spans="1:14">
      <c r="A59" s="179" t="s">
        <v>237</v>
      </c>
      <c r="B59" s="179">
        <v>5075</v>
      </c>
      <c r="C59" s="186" t="s">
        <v>272</v>
      </c>
      <c r="D59" s="179"/>
      <c r="E59" s="179"/>
      <c r="F59" s="179"/>
      <c r="G59" s="179"/>
      <c r="H59" s="179"/>
      <c r="I59" s="179"/>
      <c r="J59" s="179"/>
      <c r="K59" s="179" t="s">
        <v>273</v>
      </c>
      <c r="L59" s="179">
        <v>0.16</v>
      </c>
      <c r="M59" s="181">
        <v>23.4</v>
      </c>
      <c r="N59" s="181">
        <f>ROUND(M59*L59,2)</f>
        <v>3.74</v>
      </c>
    </row>
    <row r="60" spans="1:14">
      <c r="M60" s="183" t="s">
        <v>234</v>
      </c>
      <c r="N60" s="184">
        <f>SUM(N56:N59)</f>
        <v>232.51000000000002</v>
      </c>
    </row>
    <row r="61" spans="1:14" ht="6.75" customHeight="1"/>
    <row r="62" spans="1:14">
      <c r="A62" s="168" t="s">
        <v>274</v>
      </c>
      <c r="B62" s="168" t="s">
        <v>275</v>
      </c>
      <c r="C62" s="169" t="str">
        <f>'[6]MEMÓRIA DE CÁLCULO'!$C$29</f>
        <v>Administração Local da Obra</v>
      </c>
      <c r="D62" s="170"/>
      <c r="E62" s="170"/>
      <c r="F62" s="170"/>
      <c r="G62" s="170"/>
      <c r="H62" s="170"/>
      <c r="I62" s="170"/>
      <c r="J62" s="170"/>
      <c r="K62" s="170"/>
      <c r="L62" s="170"/>
      <c r="M62" s="170"/>
      <c r="N62" s="171">
        <f>N67</f>
        <v>10941.96</v>
      </c>
    </row>
    <row r="63" spans="1:14" s="174" customFormat="1" ht="2.25" customHeight="1">
      <c r="A63" s="173"/>
      <c r="B63" s="173"/>
      <c r="K63" s="173"/>
      <c r="L63" s="175"/>
      <c r="M63" s="176"/>
      <c r="N63" s="177"/>
    </row>
    <row r="64" spans="1:14">
      <c r="C64" s="163" t="s">
        <v>230</v>
      </c>
      <c r="K64" s="178" t="s">
        <v>22</v>
      </c>
      <c r="L64" s="178" t="s">
        <v>64</v>
      </c>
      <c r="M64" s="178" t="s">
        <v>63</v>
      </c>
      <c r="N64" s="178" t="s">
        <v>65</v>
      </c>
    </row>
    <row r="65" spans="1:16">
      <c r="A65" s="179" t="s">
        <v>237</v>
      </c>
      <c r="B65" s="179">
        <v>34780</v>
      </c>
      <c r="C65" s="162" t="s">
        <v>276</v>
      </c>
      <c r="K65" s="179" t="s">
        <v>66</v>
      </c>
      <c r="L65" s="180">
        <v>60</v>
      </c>
      <c r="M65" s="181">
        <v>103.55</v>
      </c>
      <c r="N65" s="181">
        <f>ROUND(M65*L65,2)</f>
        <v>6213</v>
      </c>
      <c r="O65" s="182">
        <f>'[6]ORÇAMENTO GERAL'!J50</f>
        <v>1399999.9999999998</v>
      </c>
      <c r="P65" s="195">
        <f>'[6]ORÇAMENTO GERAL'!M19</f>
        <v>6.0004268614288758E-2</v>
      </c>
    </row>
    <row r="66" spans="1:16">
      <c r="A66" s="179" t="s">
        <v>237</v>
      </c>
      <c r="B66" s="179">
        <v>4083</v>
      </c>
      <c r="C66" s="162" t="s">
        <v>277</v>
      </c>
      <c r="K66" s="179" t="s">
        <v>66</v>
      </c>
      <c r="L66" s="180">
        <v>192</v>
      </c>
      <c r="M66" s="181">
        <v>24.63</v>
      </c>
      <c r="N66" s="181">
        <f>ROUND(M66*L66,2)</f>
        <v>4728.96</v>
      </c>
    </row>
    <row r="67" spans="1:16">
      <c r="M67" s="183" t="s">
        <v>234</v>
      </c>
      <c r="N67" s="184">
        <f>SUM(N65:N66)</f>
        <v>10941.96</v>
      </c>
    </row>
    <row r="68" spans="1:16" ht="6.75" customHeight="1"/>
    <row r="69" spans="1:16">
      <c r="A69" s="168" t="s">
        <v>278</v>
      </c>
      <c r="B69" s="168" t="s">
        <v>279</v>
      </c>
      <c r="C69" s="169" t="str">
        <f>'[6]MEMÓRIA DE CÁLCULO'!C30</f>
        <v>Barracão de Obra</v>
      </c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171">
        <f>N75+N89</f>
        <v>394.93</v>
      </c>
    </row>
    <row r="70" spans="1:16" s="174" customFormat="1" ht="2.25" customHeight="1">
      <c r="A70" s="173"/>
      <c r="B70" s="173"/>
      <c r="K70" s="173"/>
      <c r="L70" s="175"/>
      <c r="M70" s="176"/>
      <c r="N70" s="177"/>
    </row>
    <row r="71" spans="1:16">
      <c r="C71" s="163" t="s">
        <v>230</v>
      </c>
      <c r="K71" s="178" t="s">
        <v>22</v>
      </c>
      <c r="L71" s="178" t="s">
        <v>64</v>
      </c>
      <c r="M71" s="178" t="s">
        <v>63</v>
      </c>
      <c r="N71" s="178" t="s">
        <v>65</v>
      </c>
    </row>
    <row r="72" spans="1:16">
      <c r="A72" s="179" t="s">
        <v>237</v>
      </c>
      <c r="B72" s="179">
        <v>1213</v>
      </c>
      <c r="C72" s="186" t="s">
        <v>266</v>
      </c>
      <c r="D72" s="179"/>
      <c r="E72" s="179"/>
      <c r="F72" s="179"/>
      <c r="G72" s="179"/>
      <c r="H72" s="179"/>
      <c r="I72" s="179"/>
      <c r="J72" s="179"/>
      <c r="K72" s="179" t="s">
        <v>66</v>
      </c>
      <c r="L72" s="180">
        <v>1.5</v>
      </c>
      <c r="M72" s="181">
        <v>16.18</v>
      </c>
      <c r="N72" s="181">
        <f>ROUND(M72*L72,2)</f>
        <v>24.27</v>
      </c>
    </row>
    <row r="73" spans="1:16">
      <c r="A73" s="179" t="s">
        <v>237</v>
      </c>
      <c r="B73" s="179">
        <v>4750</v>
      </c>
      <c r="C73" s="186" t="s">
        <v>280</v>
      </c>
      <c r="D73" s="179"/>
      <c r="E73" s="179"/>
      <c r="F73" s="179"/>
      <c r="G73" s="179"/>
      <c r="H73" s="179"/>
      <c r="I73" s="179"/>
      <c r="J73" s="179"/>
      <c r="K73" s="179" t="s">
        <v>66</v>
      </c>
      <c r="L73" s="180">
        <v>0.3</v>
      </c>
      <c r="M73" s="181">
        <v>16.18</v>
      </c>
      <c r="N73" s="181">
        <f>ROUND(M73*L73,2)</f>
        <v>4.8499999999999996</v>
      </c>
    </row>
    <row r="74" spans="1:16">
      <c r="A74" s="179" t="s">
        <v>237</v>
      </c>
      <c r="B74" s="179">
        <v>6111</v>
      </c>
      <c r="C74" s="186" t="s">
        <v>267</v>
      </c>
      <c r="D74" s="179"/>
      <c r="E74" s="179"/>
      <c r="F74" s="179"/>
      <c r="G74" s="179"/>
      <c r="H74" s="179"/>
      <c r="I74" s="179"/>
      <c r="J74" s="179"/>
      <c r="K74" s="179" t="s">
        <v>66</v>
      </c>
      <c r="L74" s="180">
        <v>2</v>
      </c>
      <c r="M74" s="181">
        <f>M53</f>
        <v>11.9</v>
      </c>
      <c r="N74" s="181">
        <f>ROUND(M74*L74,2)</f>
        <v>23.8</v>
      </c>
    </row>
    <row r="75" spans="1:16">
      <c r="A75" s="179"/>
      <c r="B75" s="179"/>
      <c r="C75" s="186"/>
      <c r="D75" s="179"/>
      <c r="E75" s="179"/>
      <c r="F75" s="179"/>
      <c r="G75" s="179"/>
      <c r="H75" s="179"/>
      <c r="I75" s="179"/>
      <c r="J75" s="179"/>
      <c r="K75" s="179"/>
      <c r="L75" s="180"/>
      <c r="M75" s="183" t="s">
        <v>234</v>
      </c>
      <c r="N75" s="184">
        <f>SUM(N72:N74)</f>
        <v>52.92</v>
      </c>
    </row>
    <row r="76" spans="1:16">
      <c r="C76" s="163" t="s">
        <v>258</v>
      </c>
      <c r="K76" s="178" t="s">
        <v>22</v>
      </c>
      <c r="L76" s="178" t="s">
        <v>64</v>
      </c>
      <c r="M76" s="178" t="s">
        <v>63</v>
      </c>
      <c r="N76" s="178" t="s">
        <v>65</v>
      </c>
    </row>
    <row r="77" spans="1:16">
      <c r="A77" s="179" t="s">
        <v>237</v>
      </c>
      <c r="B77" s="179">
        <v>6189</v>
      </c>
      <c r="C77" s="186" t="s">
        <v>281</v>
      </c>
      <c r="D77" s="179"/>
      <c r="E77" s="179"/>
      <c r="F77" s="179"/>
      <c r="G77" s="179"/>
      <c r="H77" s="179"/>
      <c r="I77" s="179"/>
      <c r="J77" s="179"/>
      <c r="K77" s="179" t="s">
        <v>271</v>
      </c>
      <c r="L77" s="180">
        <v>2</v>
      </c>
      <c r="M77" s="181">
        <v>33</v>
      </c>
      <c r="N77" s="181">
        <f t="shared" ref="N77:N88" si="0">ROUND(M77*L77,2)</f>
        <v>66</v>
      </c>
    </row>
    <row r="78" spans="1:16">
      <c r="A78" s="179" t="s">
        <v>237</v>
      </c>
      <c r="B78" s="179">
        <v>35274</v>
      </c>
      <c r="C78" s="186" t="s">
        <v>282</v>
      </c>
      <c r="D78" s="179"/>
      <c r="E78" s="179"/>
      <c r="F78" s="179"/>
      <c r="G78" s="179"/>
      <c r="H78" s="179"/>
      <c r="I78" s="179"/>
      <c r="J78" s="179"/>
      <c r="K78" s="179" t="s">
        <v>28</v>
      </c>
      <c r="L78" s="180">
        <v>1.8</v>
      </c>
      <c r="M78" s="181">
        <v>60.9</v>
      </c>
      <c r="N78" s="181">
        <f t="shared" si="0"/>
        <v>109.62</v>
      </c>
    </row>
    <row r="79" spans="1:16">
      <c r="A79" s="179" t="s">
        <v>237</v>
      </c>
      <c r="B79" s="179">
        <v>20213</v>
      </c>
      <c r="C79" s="186" t="s">
        <v>283</v>
      </c>
      <c r="D79" s="179"/>
      <c r="E79" s="179"/>
      <c r="F79" s="179"/>
      <c r="G79" s="179"/>
      <c r="H79" s="179"/>
      <c r="I79" s="179"/>
      <c r="J79" s="179"/>
      <c r="K79" s="179" t="s">
        <v>28</v>
      </c>
      <c r="L79" s="180">
        <v>0.8</v>
      </c>
      <c r="M79" s="181">
        <v>30.92</v>
      </c>
      <c r="N79" s="181">
        <f t="shared" si="0"/>
        <v>24.74</v>
      </c>
    </row>
    <row r="80" spans="1:16">
      <c r="A80" s="179" t="s">
        <v>237</v>
      </c>
      <c r="B80" s="179">
        <v>7213</v>
      </c>
      <c r="C80" s="186" t="s">
        <v>284</v>
      </c>
      <c r="D80" s="179"/>
      <c r="E80" s="179"/>
      <c r="F80" s="179"/>
      <c r="G80" s="179"/>
      <c r="H80" s="179"/>
      <c r="I80" s="179"/>
      <c r="J80" s="179"/>
      <c r="K80" s="179" t="s">
        <v>271</v>
      </c>
      <c r="L80" s="180">
        <v>1.2</v>
      </c>
      <c r="M80" s="181">
        <v>20.32</v>
      </c>
      <c r="N80" s="181">
        <f t="shared" si="0"/>
        <v>24.38</v>
      </c>
    </row>
    <row r="81" spans="1:16">
      <c r="A81" s="179" t="s">
        <v>237</v>
      </c>
      <c r="B81" s="179">
        <v>6212</v>
      </c>
      <c r="C81" s="186" t="s">
        <v>285</v>
      </c>
      <c r="D81" s="179"/>
      <c r="E81" s="179"/>
      <c r="F81" s="179"/>
      <c r="G81" s="179"/>
      <c r="H81" s="179"/>
      <c r="I81" s="179"/>
      <c r="J81" s="179"/>
      <c r="K81" s="179" t="s">
        <v>28</v>
      </c>
      <c r="L81" s="180">
        <v>1.0891999999999999</v>
      </c>
      <c r="M81" s="181">
        <v>17</v>
      </c>
      <c r="N81" s="181">
        <f t="shared" si="0"/>
        <v>18.52</v>
      </c>
    </row>
    <row r="82" spans="1:16">
      <c r="A82" s="179" t="s">
        <v>237</v>
      </c>
      <c r="B82" s="179">
        <v>4721</v>
      </c>
      <c r="C82" s="186" t="s">
        <v>286</v>
      </c>
      <c r="D82" s="179"/>
      <c r="E82" s="179"/>
      <c r="F82" s="179"/>
      <c r="G82" s="179"/>
      <c r="H82" s="179"/>
      <c r="I82" s="179"/>
      <c r="J82" s="179"/>
      <c r="K82" s="179" t="s">
        <v>218</v>
      </c>
      <c r="L82" s="180">
        <v>0.1089</v>
      </c>
      <c r="M82" s="181">
        <v>69.650000000000006</v>
      </c>
      <c r="N82" s="181">
        <f t="shared" si="0"/>
        <v>7.58</v>
      </c>
    </row>
    <row r="83" spans="1:16">
      <c r="A83" s="179" t="s">
        <v>237</v>
      </c>
      <c r="B83" s="179">
        <v>1379</v>
      </c>
      <c r="C83" s="186" t="s">
        <v>287</v>
      </c>
      <c r="D83" s="179"/>
      <c r="E83" s="179"/>
      <c r="F83" s="179"/>
      <c r="G83" s="179"/>
      <c r="H83" s="179"/>
      <c r="I83" s="179"/>
      <c r="J83" s="179"/>
      <c r="K83" s="179" t="s">
        <v>273</v>
      </c>
      <c r="L83" s="180">
        <v>23.69</v>
      </c>
      <c r="M83" s="181">
        <v>0.6</v>
      </c>
      <c r="N83" s="181">
        <f t="shared" si="0"/>
        <v>14.21</v>
      </c>
    </row>
    <row r="84" spans="1:16">
      <c r="A84" s="179" t="s">
        <v>237</v>
      </c>
      <c r="B84" s="179">
        <v>5061</v>
      </c>
      <c r="C84" s="186" t="s">
        <v>288</v>
      </c>
      <c r="D84" s="179"/>
      <c r="E84" s="179"/>
      <c r="F84" s="179"/>
      <c r="G84" s="179"/>
      <c r="H84" s="179"/>
      <c r="I84" s="179"/>
      <c r="J84" s="179"/>
      <c r="K84" s="179" t="s">
        <v>273</v>
      </c>
      <c r="L84" s="180">
        <v>0.8</v>
      </c>
      <c r="M84" s="181">
        <v>23</v>
      </c>
      <c r="N84" s="181">
        <f t="shared" si="0"/>
        <v>18.399999999999999</v>
      </c>
    </row>
    <row r="85" spans="1:16">
      <c r="A85" s="179" t="s">
        <v>237</v>
      </c>
      <c r="B85" s="179">
        <v>4460</v>
      </c>
      <c r="C85" s="186" t="s">
        <v>289</v>
      </c>
      <c r="D85" s="179"/>
      <c r="E85" s="179"/>
      <c r="F85" s="179"/>
      <c r="G85" s="179"/>
      <c r="H85" s="179"/>
      <c r="I85" s="179"/>
      <c r="J85" s="179"/>
      <c r="K85" s="179" t="s">
        <v>28</v>
      </c>
      <c r="L85" s="180">
        <v>2.5</v>
      </c>
      <c r="M85" s="181">
        <v>11.29</v>
      </c>
      <c r="N85" s="181">
        <f t="shared" si="0"/>
        <v>28.23</v>
      </c>
    </row>
    <row r="86" spans="1:16">
      <c r="A86" s="179" t="s">
        <v>237</v>
      </c>
      <c r="B86" s="179">
        <v>367</v>
      </c>
      <c r="C86" s="186" t="s">
        <v>290</v>
      </c>
      <c r="D86" s="179"/>
      <c r="E86" s="179"/>
      <c r="F86" s="179"/>
      <c r="G86" s="179"/>
      <c r="H86" s="179"/>
      <c r="I86" s="179"/>
      <c r="J86" s="179"/>
      <c r="K86" s="179" t="s">
        <v>218</v>
      </c>
      <c r="L86" s="180">
        <v>8.5000000000000006E-2</v>
      </c>
      <c r="M86" s="181">
        <v>58.25</v>
      </c>
      <c r="N86" s="181">
        <f t="shared" si="0"/>
        <v>4.95</v>
      </c>
    </row>
    <row r="87" spans="1:16">
      <c r="A87" s="179" t="s">
        <v>237</v>
      </c>
      <c r="B87" s="179">
        <v>43682</v>
      </c>
      <c r="C87" s="186" t="s">
        <v>291</v>
      </c>
      <c r="D87" s="179"/>
      <c r="E87" s="179"/>
      <c r="F87" s="179"/>
      <c r="G87" s="179"/>
      <c r="H87" s="179"/>
      <c r="I87" s="179"/>
      <c r="J87" s="179"/>
      <c r="K87" s="179" t="s">
        <v>271</v>
      </c>
      <c r="L87" s="180">
        <v>1</v>
      </c>
      <c r="M87" s="181">
        <v>20.2</v>
      </c>
      <c r="N87" s="181">
        <f t="shared" si="0"/>
        <v>20.2</v>
      </c>
    </row>
    <row r="88" spans="1:16">
      <c r="A88" s="179" t="s">
        <v>237</v>
      </c>
      <c r="B88" s="179">
        <v>20247</v>
      </c>
      <c r="C88" s="186" t="s">
        <v>292</v>
      </c>
      <c r="D88" s="179"/>
      <c r="E88" s="179"/>
      <c r="F88" s="179"/>
      <c r="G88" s="179"/>
      <c r="H88" s="179"/>
      <c r="I88" s="179"/>
      <c r="J88" s="179"/>
      <c r="K88" s="179" t="s">
        <v>273</v>
      </c>
      <c r="L88" s="180">
        <v>0.2</v>
      </c>
      <c r="M88" s="181">
        <v>25.91</v>
      </c>
      <c r="N88" s="181">
        <f t="shared" si="0"/>
        <v>5.18</v>
      </c>
    </row>
    <row r="89" spans="1:16">
      <c r="M89" s="183" t="s">
        <v>234</v>
      </c>
      <c r="N89" s="184">
        <f>SUM(N77:N88)</f>
        <v>342.01</v>
      </c>
    </row>
    <row r="90" spans="1:16" ht="6.75" customHeight="1"/>
    <row r="91" spans="1:16">
      <c r="A91" s="168" t="s">
        <v>293</v>
      </c>
      <c r="B91" s="168" t="s">
        <v>294</v>
      </c>
      <c r="C91" s="169" t="str">
        <f>'[6]MEMÓRIA DE CÁLCULO'!C31</f>
        <v>Mobilização e desmobilização de equipamentos</v>
      </c>
      <c r="D91" s="170"/>
      <c r="E91" s="170"/>
      <c r="F91" s="170"/>
      <c r="G91" s="170"/>
      <c r="H91" s="170"/>
      <c r="I91" s="170"/>
      <c r="J91" s="170"/>
      <c r="K91" s="170"/>
      <c r="L91" s="170"/>
      <c r="M91" s="170"/>
      <c r="N91" s="171">
        <f>SUM(N94:N98)</f>
        <v>40089.600000000006</v>
      </c>
    </row>
    <row r="92" spans="1:16" s="174" customFormat="1" ht="2.25" customHeight="1">
      <c r="A92" s="173"/>
      <c r="B92" s="173"/>
      <c r="K92" s="173"/>
      <c r="L92" s="175"/>
      <c r="M92" s="176"/>
      <c r="N92" s="177"/>
    </row>
    <row r="93" spans="1:16" s="165" customFormat="1" ht="65.400000000000006" customHeight="1">
      <c r="C93" s="196" t="s">
        <v>295</v>
      </c>
      <c r="F93" s="197" t="s">
        <v>296</v>
      </c>
      <c r="G93" s="198" t="s">
        <v>169</v>
      </c>
      <c r="H93" s="198" t="s">
        <v>64</v>
      </c>
      <c r="I93" s="197" t="s">
        <v>297</v>
      </c>
      <c r="J93" s="197" t="s">
        <v>298</v>
      </c>
      <c r="K93" s="197" t="s">
        <v>299</v>
      </c>
      <c r="L93" s="197" t="s">
        <v>300</v>
      </c>
      <c r="M93" s="197" t="s">
        <v>301</v>
      </c>
      <c r="N93" s="198" t="s">
        <v>302</v>
      </c>
    </row>
    <row r="94" spans="1:16" s="165" customFormat="1" ht="62.4">
      <c r="A94" s="165" t="s">
        <v>303</v>
      </c>
      <c r="B94" s="199" t="s">
        <v>379</v>
      </c>
      <c r="C94" s="200" t="s">
        <v>380</v>
      </c>
      <c r="D94" s="199"/>
      <c r="E94" s="199"/>
      <c r="F94" s="199" t="s">
        <v>304</v>
      </c>
      <c r="G94" s="201" t="s">
        <v>305</v>
      </c>
      <c r="H94" s="199">
        <v>2</v>
      </c>
      <c r="I94" s="202">
        <v>400</v>
      </c>
      <c r="J94" s="199">
        <v>2</v>
      </c>
      <c r="K94" s="202">
        <v>1</v>
      </c>
      <c r="L94" s="203">
        <v>60</v>
      </c>
      <c r="M94" s="204">
        <v>406.76</v>
      </c>
      <c r="N94" s="204">
        <f>ROUND((I94/L94)*(J94*K94*M94*H94),2)</f>
        <v>10846.93</v>
      </c>
      <c r="O94" s="216">
        <f>H94*I94*J94*K94/L94</f>
        <v>26.666666666666668</v>
      </c>
    </row>
    <row r="95" spans="1:16" s="165" customFormat="1" ht="62.4">
      <c r="B95" s="199" t="s">
        <v>306</v>
      </c>
      <c r="C95" s="200" t="s">
        <v>307</v>
      </c>
      <c r="D95" s="199"/>
      <c r="E95" s="199"/>
      <c r="F95" s="199" t="s">
        <v>304</v>
      </c>
      <c r="G95" s="201" t="s">
        <v>305</v>
      </c>
      <c r="H95" s="199">
        <v>2</v>
      </c>
      <c r="I95" s="202">
        <f>I94</f>
        <v>400</v>
      </c>
      <c r="J95" s="199">
        <v>2</v>
      </c>
      <c r="K95" s="202">
        <v>0.5</v>
      </c>
      <c r="L95" s="203">
        <v>60</v>
      </c>
      <c r="M95" s="204">
        <v>406.76</v>
      </c>
      <c r="N95" s="204">
        <f>ROUND((I95/L95)*(J95*K95*M95*H95),2)</f>
        <v>5423.47</v>
      </c>
      <c r="O95" s="216">
        <f>H95*I95*J95*K95/L95</f>
        <v>13.333333333333334</v>
      </c>
      <c r="P95" s="205"/>
    </row>
    <row r="96" spans="1:16" s="165" customFormat="1" ht="46.8">
      <c r="B96" s="199" t="s">
        <v>549</v>
      </c>
      <c r="C96" s="200" t="s">
        <v>550</v>
      </c>
      <c r="D96" s="199"/>
      <c r="E96" s="199"/>
      <c r="F96" s="199" t="s">
        <v>551</v>
      </c>
      <c r="G96" s="201" t="s">
        <v>552</v>
      </c>
      <c r="H96" s="199">
        <v>2</v>
      </c>
      <c r="I96" s="202">
        <f>I95</f>
        <v>400</v>
      </c>
      <c r="J96" s="199">
        <v>2</v>
      </c>
      <c r="K96" s="202">
        <v>1</v>
      </c>
      <c r="L96" s="203">
        <v>60</v>
      </c>
      <c r="M96" s="204">
        <v>328.31</v>
      </c>
      <c r="N96" s="204">
        <f>ROUND((I96/L96)*(J96*K96*M96*H96),2)</f>
        <v>8754.93</v>
      </c>
      <c r="O96" s="216"/>
      <c r="P96" s="205"/>
    </row>
    <row r="97" spans="1:17" s="165" customFormat="1">
      <c r="B97" s="199" t="s">
        <v>308</v>
      </c>
      <c r="C97" s="200" t="s">
        <v>309</v>
      </c>
      <c r="D97" s="199"/>
      <c r="E97" s="199"/>
      <c r="F97" s="199"/>
      <c r="G97" s="201"/>
      <c r="H97" s="199">
        <v>2</v>
      </c>
      <c r="I97" s="202">
        <f>I96</f>
        <v>400</v>
      </c>
      <c r="J97" s="199">
        <v>2</v>
      </c>
      <c r="K97" s="202">
        <v>1</v>
      </c>
      <c r="L97" s="203">
        <v>60</v>
      </c>
      <c r="M97" s="204">
        <v>300.69</v>
      </c>
      <c r="N97" s="204">
        <f>ROUND((I97/L97)*(J97*K97*M97*H97),2)</f>
        <v>8018.4</v>
      </c>
      <c r="O97" s="216">
        <f>H97*I97*J97*K97/L97</f>
        <v>26.666666666666668</v>
      </c>
      <c r="Q97" s="165">
        <v>9686</v>
      </c>
    </row>
    <row r="98" spans="1:17" s="165" customFormat="1">
      <c r="A98" s="165" t="s">
        <v>303</v>
      </c>
      <c r="B98" s="199" t="s">
        <v>381</v>
      </c>
      <c r="C98" s="200" t="s">
        <v>382</v>
      </c>
      <c r="D98" s="199"/>
      <c r="E98" s="199"/>
      <c r="F98" s="199"/>
      <c r="G98" s="201"/>
      <c r="H98" s="199">
        <v>2</v>
      </c>
      <c r="I98" s="202">
        <f>I97</f>
        <v>400</v>
      </c>
      <c r="J98" s="199">
        <v>2</v>
      </c>
      <c r="K98" s="202">
        <f>K94</f>
        <v>1</v>
      </c>
      <c r="L98" s="203">
        <v>60</v>
      </c>
      <c r="M98" s="204">
        <v>264.22000000000003</v>
      </c>
      <c r="N98" s="204">
        <f>ROUND((I98/L98)*(J98*K98*M98*H98),2)</f>
        <v>7045.87</v>
      </c>
      <c r="O98" s="216">
        <f>H98*I98*J98*K98/L98</f>
        <v>26.666666666666668</v>
      </c>
    </row>
    <row r="101" spans="1:17" hidden="1">
      <c r="A101" s="168" t="s">
        <v>278</v>
      </c>
      <c r="B101" s="168" t="s">
        <v>310</v>
      </c>
      <c r="C101" s="169" t="s">
        <v>311</v>
      </c>
      <c r="D101" s="170"/>
      <c r="E101" s="170"/>
      <c r="F101" s="170"/>
      <c r="G101" s="170"/>
      <c r="H101" s="170"/>
      <c r="I101" s="170"/>
      <c r="J101" s="170"/>
      <c r="K101" s="170"/>
      <c r="L101" s="170"/>
      <c r="M101" s="170"/>
      <c r="N101" s="171">
        <f>N115+N137+N158</f>
        <v>1363.4</v>
      </c>
    </row>
    <row r="102" spans="1:17" hidden="1">
      <c r="C102" s="163" t="s">
        <v>312</v>
      </c>
    </row>
    <row r="103" spans="1:17" hidden="1">
      <c r="C103" s="206" t="s">
        <v>313</v>
      </c>
      <c r="K103" s="178" t="s">
        <v>22</v>
      </c>
      <c r="L103" s="178" t="s">
        <v>64</v>
      </c>
      <c r="M103" s="178" t="s">
        <v>63</v>
      </c>
      <c r="N103" s="178" t="s">
        <v>65</v>
      </c>
    </row>
    <row r="104" spans="1:17" hidden="1">
      <c r="A104" s="179" t="s">
        <v>314</v>
      </c>
      <c r="B104" s="179" t="s">
        <v>315</v>
      </c>
      <c r="C104" s="186" t="s">
        <v>316</v>
      </c>
      <c r="K104" s="179" t="s">
        <v>317</v>
      </c>
      <c r="L104" s="180">
        <v>1</v>
      </c>
      <c r="M104" s="181">
        <v>29.357399999999998</v>
      </c>
      <c r="N104" s="181">
        <f>ROUND(M104*L104,2)</f>
        <v>29.36</v>
      </c>
    </row>
    <row r="105" spans="1:17" hidden="1">
      <c r="A105" s="179" t="s">
        <v>314</v>
      </c>
      <c r="B105" s="179" t="s">
        <v>318</v>
      </c>
      <c r="C105" s="186" t="s">
        <v>319</v>
      </c>
      <c r="K105" s="179" t="s">
        <v>317</v>
      </c>
      <c r="L105" s="180">
        <v>1</v>
      </c>
      <c r="M105" s="181">
        <v>112.982</v>
      </c>
      <c r="N105" s="181">
        <f>ROUND(M105*L105,2)</f>
        <v>112.98</v>
      </c>
    </row>
    <row r="106" spans="1:17" hidden="1">
      <c r="M106" s="183" t="s">
        <v>320</v>
      </c>
      <c r="N106" s="184">
        <f>SUM(N104:N105)</f>
        <v>142.34</v>
      </c>
    </row>
    <row r="107" spans="1:17" hidden="1">
      <c r="C107" s="206" t="s">
        <v>321</v>
      </c>
      <c r="K107" s="178" t="s">
        <v>22</v>
      </c>
      <c r="L107" s="178" t="s">
        <v>64</v>
      </c>
      <c r="M107" s="178" t="s">
        <v>63</v>
      </c>
      <c r="N107" s="178" t="s">
        <v>65</v>
      </c>
    </row>
    <row r="108" spans="1:17" hidden="1">
      <c r="A108" s="179" t="s">
        <v>23</v>
      </c>
      <c r="B108" s="179">
        <v>93572</v>
      </c>
      <c r="C108" s="186" t="s">
        <v>322</v>
      </c>
      <c r="K108" s="179" t="s">
        <v>66</v>
      </c>
      <c r="L108" s="180">
        <v>1</v>
      </c>
      <c r="M108" s="181">
        <v>26.42</v>
      </c>
      <c r="N108" s="181">
        <f>ROUND(M108*L108,2)</f>
        <v>26.42</v>
      </c>
    </row>
    <row r="109" spans="1:17" hidden="1">
      <c r="A109" s="179" t="s">
        <v>23</v>
      </c>
      <c r="B109" s="179">
        <v>88262</v>
      </c>
      <c r="C109" s="186" t="s">
        <v>323</v>
      </c>
      <c r="K109" s="179" t="s">
        <v>66</v>
      </c>
      <c r="L109" s="180">
        <v>4</v>
      </c>
      <c r="M109" s="181">
        <v>19.440000000000001</v>
      </c>
      <c r="N109" s="181">
        <f>ROUND(M109*L109,2)</f>
        <v>77.760000000000005</v>
      </c>
    </row>
    <row r="110" spans="1:17" hidden="1">
      <c r="A110" s="179" t="s">
        <v>23</v>
      </c>
      <c r="B110" s="179">
        <v>88239</v>
      </c>
      <c r="C110" s="186" t="s">
        <v>324</v>
      </c>
      <c r="K110" s="179" t="s">
        <v>66</v>
      </c>
      <c r="L110" s="180">
        <v>10</v>
      </c>
      <c r="M110" s="181">
        <v>15.99</v>
      </c>
      <c r="N110" s="181">
        <f>ROUND(M110*L110,2)</f>
        <v>159.9</v>
      </c>
    </row>
    <row r="111" spans="1:17" hidden="1">
      <c r="M111" s="183" t="s">
        <v>325</v>
      </c>
      <c r="N111" s="184">
        <f>SUM(N108:N110)</f>
        <v>264.08000000000004</v>
      </c>
    </row>
    <row r="112" spans="1:17" hidden="1">
      <c r="J112" s="207"/>
      <c r="P112" s="194"/>
    </row>
    <row r="113" spans="1:14" hidden="1">
      <c r="L113" s="162" t="s">
        <v>326</v>
      </c>
      <c r="M113" s="163"/>
      <c r="N113" s="182">
        <f>N111+N106</f>
        <v>406.42000000000007</v>
      </c>
    </row>
    <row r="114" spans="1:14" hidden="1">
      <c r="L114" s="162" t="s">
        <v>327</v>
      </c>
      <c r="N114" s="208">
        <v>1</v>
      </c>
    </row>
    <row r="115" spans="1:14" hidden="1">
      <c r="K115" s="163" t="s">
        <v>328</v>
      </c>
      <c r="L115" s="163"/>
      <c r="M115" s="163"/>
      <c r="N115" s="209">
        <f>ROUND(N113/N114,2)</f>
        <v>406.42</v>
      </c>
    </row>
    <row r="116" spans="1:14" hidden="1">
      <c r="C116" s="163" t="s">
        <v>329</v>
      </c>
    </row>
    <row r="117" spans="1:14" hidden="1">
      <c r="C117" s="206" t="s">
        <v>313</v>
      </c>
      <c r="K117" s="178" t="s">
        <v>22</v>
      </c>
      <c r="L117" s="178" t="s">
        <v>64</v>
      </c>
      <c r="M117" s="178" t="s">
        <v>63</v>
      </c>
      <c r="N117" s="178" t="s">
        <v>65</v>
      </c>
    </row>
    <row r="118" spans="1:14" hidden="1">
      <c r="A118" s="179" t="s">
        <v>314</v>
      </c>
      <c r="B118" s="179" t="s">
        <v>315</v>
      </c>
      <c r="C118" s="186" t="s">
        <v>316</v>
      </c>
      <c r="K118" s="179" t="s">
        <v>317</v>
      </c>
      <c r="L118" s="180">
        <v>1</v>
      </c>
      <c r="M118" s="181">
        <v>29.357399999999998</v>
      </c>
      <c r="N118" s="181">
        <f>ROUND(M118*L118,2)</f>
        <v>29.36</v>
      </c>
    </row>
    <row r="119" spans="1:14" hidden="1">
      <c r="M119" s="183" t="s">
        <v>320</v>
      </c>
      <c r="N119" s="184">
        <f>SUM(N118:N118)</f>
        <v>29.36</v>
      </c>
    </row>
    <row r="120" spans="1:14" hidden="1">
      <c r="C120" s="206" t="s">
        <v>321</v>
      </c>
      <c r="K120" s="178" t="s">
        <v>22</v>
      </c>
      <c r="L120" s="178" t="s">
        <v>64</v>
      </c>
      <c r="M120" s="178" t="s">
        <v>63</v>
      </c>
      <c r="N120" s="178" t="s">
        <v>65</v>
      </c>
    </row>
    <row r="121" spans="1:14" hidden="1">
      <c r="A121" s="179" t="s">
        <v>23</v>
      </c>
      <c r="B121" s="179">
        <v>93572</v>
      </c>
      <c r="C121" s="186" t="s">
        <v>322</v>
      </c>
      <c r="K121" s="179" t="s">
        <v>66</v>
      </c>
      <c r="L121" s="180">
        <v>1</v>
      </c>
      <c r="M121" s="181">
        <v>26.42</v>
      </c>
      <c r="N121" s="181">
        <f>ROUND(M121*L121,2)</f>
        <v>26.42</v>
      </c>
    </row>
    <row r="122" spans="1:14" hidden="1">
      <c r="A122" s="179" t="s">
        <v>23</v>
      </c>
      <c r="B122" s="179">
        <v>88262</v>
      </c>
      <c r="C122" s="186" t="s">
        <v>323</v>
      </c>
      <c r="K122" s="179" t="s">
        <v>66</v>
      </c>
      <c r="L122" s="180">
        <v>4</v>
      </c>
      <c r="M122" s="181">
        <v>19.440000000000001</v>
      </c>
      <c r="N122" s="181">
        <f>ROUND(M122*L122,2)</f>
        <v>77.760000000000005</v>
      </c>
    </row>
    <row r="123" spans="1:14" hidden="1">
      <c r="A123" s="179" t="s">
        <v>23</v>
      </c>
      <c r="B123" s="179">
        <v>88239</v>
      </c>
      <c r="C123" s="186" t="s">
        <v>324</v>
      </c>
      <c r="K123" s="179" t="s">
        <v>66</v>
      </c>
      <c r="L123" s="180">
        <v>4</v>
      </c>
      <c r="M123" s="181">
        <v>15.99</v>
      </c>
      <c r="N123" s="181">
        <f>ROUND(M123*L123,2)</f>
        <v>63.96</v>
      </c>
    </row>
    <row r="124" spans="1:14" hidden="1">
      <c r="A124" s="179" t="s">
        <v>23</v>
      </c>
      <c r="B124" s="179">
        <v>88311</v>
      </c>
      <c r="C124" s="186" t="s">
        <v>330</v>
      </c>
      <c r="K124" s="179" t="s">
        <v>66</v>
      </c>
      <c r="L124" s="180">
        <v>1</v>
      </c>
      <c r="M124" s="181">
        <v>24.51</v>
      </c>
      <c r="N124" s="181">
        <f>ROUND(M124*L124,2)</f>
        <v>24.51</v>
      </c>
    </row>
    <row r="125" spans="1:14" hidden="1">
      <c r="M125" s="183" t="s">
        <v>325</v>
      </c>
      <c r="N125" s="184">
        <f>SUM(N121:N124)</f>
        <v>192.65</v>
      </c>
    </row>
    <row r="126" spans="1:14" hidden="1">
      <c r="J126" s="163"/>
    </row>
    <row r="127" spans="1:14" hidden="1">
      <c r="M127" s="183"/>
      <c r="N127" s="184"/>
    </row>
    <row r="128" spans="1:14" hidden="1">
      <c r="L128" s="162" t="s">
        <v>326</v>
      </c>
      <c r="M128" s="163"/>
      <c r="N128" s="182">
        <f>N125+N119</f>
        <v>222.01</v>
      </c>
    </row>
    <row r="129" spans="1:15" hidden="1">
      <c r="L129" s="162" t="s">
        <v>327</v>
      </c>
      <c r="N129" s="208">
        <v>1</v>
      </c>
    </row>
    <row r="130" spans="1:15" hidden="1">
      <c r="K130" s="162" t="s">
        <v>328</v>
      </c>
      <c r="N130" s="167">
        <f>ROUND(N128/N129,2)</f>
        <v>222.01</v>
      </c>
    </row>
    <row r="131" spans="1:15" hidden="1">
      <c r="C131" s="206" t="s">
        <v>331</v>
      </c>
      <c r="K131" s="178" t="s">
        <v>22</v>
      </c>
      <c r="L131" s="178" t="s">
        <v>64</v>
      </c>
      <c r="M131" s="178" t="s">
        <v>63</v>
      </c>
      <c r="N131" s="178" t="s">
        <v>65</v>
      </c>
    </row>
    <row r="132" spans="1:15" hidden="1">
      <c r="A132" s="179" t="s">
        <v>237</v>
      </c>
      <c r="B132" s="179">
        <v>4512</v>
      </c>
      <c r="C132" s="186" t="s">
        <v>332</v>
      </c>
      <c r="K132" s="179" t="s">
        <v>333</v>
      </c>
      <c r="L132" s="180">
        <v>4</v>
      </c>
      <c r="M132" s="181">
        <v>2.21</v>
      </c>
      <c r="N132" s="181">
        <f>ROUND(M132*L132,2)</f>
        <v>8.84</v>
      </c>
    </row>
    <row r="133" spans="1:15" hidden="1">
      <c r="A133" s="179" t="s">
        <v>237</v>
      </c>
      <c r="B133" s="179">
        <v>5075</v>
      </c>
      <c r="C133" s="186" t="s">
        <v>334</v>
      </c>
      <c r="K133" s="179" t="s">
        <v>335</v>
      </c>
      <c r="L133" s="180">
        <v>0.8</v>
      </c>
      <c r="M133" s="181">
        <v>21.06</v>
      </c>
      <c r="N133" s="181">
        <f>ROUND(M133*L133,2)</f>
        <v>16.850000000000001</v>
      </c>
    </row>
    <row r="134" spans="1:15" hidden="1">
      <c r="A134" s="179" t="s">
        <v>237</v>
      </c>
      <c r="B134" s="179">
        <v>35274</v>
      </c>
      <c r="C134" s="186" t="s">
        <v>336</v>
      </c>
      <c r="K134" s="179" t="s">
        <v>333</v>
      </c>
      <c r="L134" s="180">
        <v>2.0499999999999998</v>
      </c>
      <c r="M134" s="181">
        <v>51.38</v>
      </c>
      <c r="N134" s="181">
        <f>ROUND(M134*L134,2)</f>
        <v>105.33</v>
      </c>
    </row>
    <row r="135" spans="1:15" hidden="1">
      <c r="A135" s="179" t="s">
        <v>237</v>
      </c>
      <c r="B135" s="179">
        <v>10478</v>
      </c>
      <c r="C135" s="186" t="s">
        <v>337</v>
      </c>
      <c r="K135" s="179" t="s">
        <v>68</v>
      </c>
      <c r="L135" s="180">
        <v>0.5</v>
      </c>
      <c r="M135" s="181">
        <v>32.729999999999997</v>
      </c>
      <c r="N135" s="181">
        <f>ROUND(M135*L135,2)</f>
        <v>16.37</v>
      </c>
      <c r="O135" s="182"/>
    </row>
    <row r="136" spans="1:15" hidden="1">
      <c r="M136" s="183" t="s">
        <v>338</v>
      </c>
      <c r="N136" s="184">
        <f>SUM(N132:N135)</f>
        <v>147.39000000000001</v>
      </c>
    </row>
    <row r="137" spans="1:15" hidden="1">
      <c r="L137" s="163" t="s">
        <v>339</v>
      </c>
      <c r="N137" s="172">
        <f>N130+N136</f>
        <v>369.4</v>
      </c>
    </row>
    <row r="138" spans="1:15" hidden="1">
      <c r="C138" s="163" t="s">
        <v>340</v>
      </c>
    </row>
    <row r="139" spans="1:15" hidden="1">
      <c r="C139" s="206" t="s">
        <v>313</v>
      </c>
      <c r="K139" s="178" t="s">
        <v>22</v>
      </c>
      <c r="L139" s="178" t="s">
        <v>64</v>
      </c>
      <c r="M139" s="178" t="s">
        <v>63</v>
      </c>
      <c r="N139" s="178" t="s">
        <v>65</v>
      </c>
    </row>
    <row r="140" spans="1:15" hidden="1">
      <c r="A140" s="179" t="s">
        <v>314</v>
      </c>
      <c r="B140" s="179" t="s">
        <v>315</v>
      </c>
      <c r="C140" s="186" t="s">
        <v>316</v>
      </c>
      <c r="K140" s="179" t="s">
        <v>317</v>
      </c>
      <c r="L140" s="180">
        <v>1</v>
      </c>
      <c r="M140" s="181">
        <v>29.357399999999998</v>
      </c>
      <c r="N140" s="181">
        <f>ROUND(M140*L140,2)</f>
        <v>29.36</v>
      </c>
    </row>
    <row r="141" spans="1:15" hidden="1">
      <c r="A141" s="179" t="s">
        <v>314</v>
      </c>
      <c r="B141" s="179" t="s">
        <v>341</v>
      </c>
      <c r="C141" s="186" t="s">
        <v>342</v>
      </c>
      <c r="K141" s="179" t="s">
        <v>317</v>
      </c>
      <c r="L141" s="180">
        <v>1</v>
      </c>
      <c r="M141" s="181">
        <v>59.75</v>
      </c>
      <c r="N141" s="181">
        <f>ROUND(M141*L141,2)</f>
        <v>59.75</v>
      </c>
    </row>
    <row r="142" spans="1:15" hidden="1">
      <c r="M142" s="183" t="s">
        <v>234</v>
      </c>
      <c r="N142" s="184">
        <f>SUM(N140:N141)</f>
        <v>89.11</v>
      </c>
    </row>
    <row r="143" spans="1:15" hidden="1">
      <c r="C143" s="206" t="s">
        <v>321</v>
      </c>
      <c r="K143" s="178" t="s">
        <v>22</v>
      </c>
      <c r="L143" s="178" t="s">
        <v>64</v>
      </c>
      <c r="M143" s="178" t="s">
        <v>63</v>
      </c>
      <c r="N143" s="178" t="s">
        <v>65</v>
      </c>
    </row>
    <row r="144" spans="1:15" hidden="1">
      <c r="A144" s="179" t="s">
        <v>23</v>
      </c>
      <c r="B144" s="179">
        <v>93572</v>
      </c>
      <c r="C144" s="186" t="s">
        <v>322</v>
      </c>
      <c r="K144" s="179" t="s">
        <v>66</v>
      </c>
      <c r="L144" s="180">
        <v>1</v>
      </c>
      <c r="M144" s="181">
        <v>26.42</v>
      </c>
      <c r="N144" s="181">
        <f>ROUND(M144*L144,2)</f>
        <v>26.42</v>
      </c>
    </row>
    <row r="145" spans="1:16" hidden="1">
      <c r="A145" s="179" t="s">
        <v>23</v>
      </c>
      <c r="B145" s="179">
        <v>88262</v>
      </c>
      <c r="C145" s="186" t="s">
        <v>323</v>
      </c>
      <c r="K145" s="179" t="s">
        <v>66</v>
      </c>
      <c r="L145" s="180">
        <v>2</v>
      </c>
      <c r="M145" s="181">
        <v>19.440000000000001</v>
      </c>
      <c r="N145" s="181">
        <f>ROUND(M145*L145,2)</f>
        <v>38.880000000000003</v>
      </c>
    </row>
    <row r="146" spans="1:16" hidden="1">
      <c r="A146" s="179" t="s">
        <v>23</v>
      </c>
      <c r="B146" s="179">
        <v>88239</v>
      </c>
      <c r="C146" s="186" t="s">
        <v>324</v>
      </c>
      <c r="K146" s="179" t="s">
        <v>66</v>
      </c>
      <c r="L146" s="180">
        <v>2</v>
      </c>
      <c r="M146" s="181">
        <v>15.99</v>
      </c>
      <c r="N146" s="181">
        <f>ROUND(M146*L146,2)</f>
        <v>31.98</v>
      </c>
    </row>
    <row r="147" spans="1:16" hidden="1">
      <c r="A147" s="179" t="s">
        <v>23</v>
      </c>
      <c r="B147" s="179">
        <v>88316</v>
      </c>
      <c r="C147" s="186" t="s">
        <v>267</v>
      </c>
      <c r="K147" s="179" t="s">
        <v>66</v>
      </c>
      <c r="L147" s="180">
        <v>2</v>
      </c>
      <c r="M147" s="181">
        <v>14.73</v>
      </c>
      <c r="N147" s="181">
        <f>ROUND(M147*L147,2)</f>
        <v>29.46</v>
      </c>
    </row>
    <row r="148" spans="1:16" hidden="1">
      <c r="M148" s="183" t="s">
        <v>320</v>
      </c>
      <c r="N148" s="184">
        <f>SUM(N144:N147)</f>
        <v>126.74000000000001</v>
      </c>
    </row>
    <row r="149" spans="1:16" hidden="1">
      <c r="J149" s="163"/>
      <c r="N149" s="167"/>
    </row>
    <row r="150" spans="1:16" hidden="1">
      <c r="M150" s="183"/>
      <c r="N150" s="184"/>
    </row>
    <row r="151" spans="1:16" hidden="1">
      <c r="L151" s="162" t="s">
        <v>326</v>
      </c>
      <c r="M151" s="163"/>
      <c r="N151" s="182">
        <f>N148+N142</f>
        <v>215.85000000000002</v>
      </c>
    </row>
    <row r="152" spans="1:16" hidden="1">
      <c r="L152" s="162" t="s">
        <v>327</v>
      </c>
      <c r="N152" s="208">
        <v>1</v>
      </c>
    </row>
    <row r="153" spans="1:16" hidden="1">
      <c r="K153" s="162" t="s">
        <v>328</v>
      </c>
      <c r="N153" s="167">
        <f>ROUND(N151/N152,2)</f>
        <v>215.85</v>
      </c>
    </row>
    <row r="154" spans="1:16" hidden="1">
      <c r="C154" s="206" t="s">
        <v>331</v>
      </c>
      <c r="K154" s="178" t="s">
        <v>22</v>
      </c>
      <c r="L154" s="178" t="s">
        <v>64</v>
      </c>
      <c r="M154" s="178" t="s">
        <v>63</v>
      </c>
      <c r="N154" s="178" t="s">
        <v>65</v>
      </c>
    </row>
    <row r="155" spans="1:16" hidden="1">
      <c r="A155" s="179" t="s">
        <v>237</v>
      </c>
      <c r="B155" s="179">
        <v>20208</v>
      </c>
      <c r="C155" s="186" t="s">
        <v>343</v>
      </c>
      <c r="K155" s="179" t="s">
        <v>333</v>
      </c>
      <c r="L155" s="180">
        <v>3.3</v>
      </c>
      <c r="M155" s="181">
        <v>111.38</v>
      </c>
      <c r="N155" s="181">
        <f>ROUND(M155*L155,2)</f>
        <v>367.55</v>
      </c>
    </row>
    <row r="156" spans="1:16" hidden="1">
      <c r="A156" s="179" t="s">
        <v>237</v>
      </c>
      <c r="B156" s="179">
        <v>5075</v>
      </c>
      <c r="C156" s="186" t="s">
        <v>334</v>
      </c>
      <c r="K156" s="179" t="s">
        <v>335</v>
      </c>
      <c r="L156" s="180">
        <v>0.19869999999999999</v>
      </c>
      <c r="M156" s="181">
        <v>21.06</v>
      </c>
      <c r="N156" s="181">
        <f>ROUND(M156*L156,2)</f>
        <v>4.18</v>
      </c>
    </row>
    <row r="157" spans="1:16" hidden="1">
      <c r="M157" s="183" t="s">
        <v>338</v>
      </c>
      <c r="N157" s="184">
        <f>SUM(N155:N156)</f>
        <v>371.73</v>
      </c>
      <c r="O157" s="174"/>
      <c r="P157" s="174"/>
    </row>
    <row r="158" spans="1:16" hidden="1">
      <c r="L158" s="163" t="s">
        <v>344</v>
      </c>
      <c r="N158" s="172">
        <f>N153+N157</f>
        <v>587.58000000000004</v>
      </c>
      <c r="O158" s="174"/>
      <c r="P158" s="174"/>
    </row>
    <row r="159" spans="1:16" hidden="1"/>
    <row r="160" spans="1:16" hidden="1">
      <c r="L160" s="163" t="s">
        <v>345</v>
      </c>
      <c r="N160" s="172">
        <f>N115+N137+N158</f>
        <v>1363.4</v>
      </c>
    </row>
    <row r="161" spans="1:15">
      <c r="L161" s="163"/>
      <c r="N161" s="172"/>
    </row>
    <row r="162" spans="1:15">
      <c r="A162" s="168" t="s">
        <v>278</v>
      </c>
      <c r="B162" s="168" t="s">
        <v>346</v>
      </c>
      <c r="C162" s="169" t="str">
        <f>'[6]MEMÓRIA DE CÁLCULO'!C56</f>
        <v>Reparação de danos físicos ao meio ambiente.</v>
      </c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1">
        <f>N166+N169</f>
        <v>0.28000000000000003</v>
      </c>
    </row>
    <row r="163" spans="1:15">
      <c r="A163" s="173"/>
      <c r="B163" s="173"/>
      <c r="C163" s="174"/>
      <c r="D163" s="174"/>
      <c r="E163" s="174"/>
      <c r="F163" s="174"/>
      <c r="G163" s="174"/>
      <c r="H163" s="174"/>
      <c r="I163" s="174"/>
      <c r="J163" s="174"/>
      <c r="K163" s="173"/>
      <c r="L163" s="175"/>
      <c r="M163" s="176"/>
      <c r="N163" s="177"/>
      <c r="O163" s="182"/>
    </row>
    <row r="164" spans="1:15">
      <c r="C164" s="163" t="s">
        <v>230</v>
      </c>
      <c r="K164" s="178" t="s">
        <v>22</v>
      </c>
      <c r="L164" s="178" t="s">
        <v>64</v>
      </c>
      <c r="M164" s="178" t="s">
        <v>63</v>
      </c>
      <c r="N164" s="178" t="s">
        <v>65</v>
      </c>
    </row>
    <row r="165" spans="1:15">
      <c r="A165" s="179" t="s">
        <v>23</v>
      </c>
      <c r="B165" s="179">
        <v>88316</v>
      </c>
      <c r="C165" s="186" t="s">
        <v>267</v>
      </c>
      <c r="D165" s="179"/>
      <c r="E165" s="179"/>
      <c r="F165" s="179"/>
      <c r="G165" s="179"/>
      <c r="H165" s="179"/>
      <c r="I165" s="179"/>
      <c r="J165" s="179"/>
      <c r="K165" s="179" t="s">
        <v>66</v>
      </c>
      <c r="L165" s="179">
        <v>8.0000000000000002E-3</v>
      </c>
      <c r="M165" s="181">
        <v>15.21</v>
      </c>
      <c r="N165" s="181">
        <f>ROUND(M165*L165,2)</f>
        <v>0.12</v>
      </c>
    </row>
    <row r="166" spans="1:15">
      <c r="A166" s="179"/>
      <c r="B166" s="179"/>
      <c r="C166" s="186"/>
      <c r="D166" s="179"/>
      <c r="E166" s="179"/>
      <c r="F166" s="179"/>
      <c r="G166" s="179"/>
      <c r="H166" s="179"/>
      <c r="I166" s="179"/>
      <c r="J166" s="179"/>
      <c r="K166" s="179"/>
      <c r="L166" s="179"/>
      <c r="M166" s="183" t="s">
        <v>234</v>
      </c>
      <c r="N166" s="184">
        <f>N165</f>
        <v>0.12</v>
      </c>
    </row>
    <row r="167" spans="1:15">
      <c r="C167" s="163" t="s">
        <v>313</v>
      </c>
      <c r="K167" s="178" t="s">
        <v>22</v>
      </c>
      <c r="L167" s="178" t="s">
        <v>64</v>
      </c>
      <c r="M167" s="178" t="s">
        <v>63</v>
      </c>
      <c r="N167" s="178" t="s">
        <v>65</v>
      </c>
    </row>
    <row r="168" spans="1:15">
      <c r="A168" s="179" t="s">
        <v>23</v>
      </c>
      <c r="B168" s="179">
        <v>5857</v>
      </c>
      <c r="C168" s="186" t="s">
        <v>347</v>
      </c>
      <c r="D168" s="179"/>
      <c r="E168" s="179"/>
      <c r="G168" s="179"/>
      <c r="H168" s="179"/>
      <c r="I168" s="179"/>
      <c r="J168" s="179"/>
      <c r="K168" s="179" t="s">
        <v>66</v>
      </c>
      <c r="L168" s="179">
        <v>1E-3</v>
      </c>
      <c r="M168" s="181">
        <v>157.25</v>
      </c>
      <c r="N168" s="181">
        <f>ROUND(M168*L168,2)</f>
        <v>0.16</v>
      </c>
    </row>
    <row r="169" spans="1:15">
      <c r="M169" s="183" t="s">
        <v>234</v>
      </c>
      <c r="N169" s="184">
        <f>N168</f>
        <v>0.16</v>
      </c>
    </row>
    <row r="178" spans="1:14" ht="18">
      <c r="A178" s="535">
        <f>'[6]RESUMO GERAL'!A67:J67</f>
        <v>44669</v>
      </c>
      <c r="B178" s="535"/>
      <c r="C178" s="535"/>
      <c r="D178" s="535"/>
      <c r="E178" s="535"/>
      <c r="F178" s="535"/>
      <c r="G178" s="535"/>
      <c r="H178" s="535"/>
      <c r="I178" s="535"/>
      <c r="J178" s="535"/>
      <c r="K178" s="535"/>
      <c r="L178" s="535"/>
      <c r="M178" s="535"/>
      <c r="N178" s="535"/>
    </row>
    <row r="179" spans="1:14" ht="18">
      <c r="A179" s="535" t="str">
        <f>'[6]RESUMO GERAL'!A68:J68</f>
        <v>ICATU - MA</v>
      </c>
      <c r="B179" s="535"/>
      <c r="C179" s="535"/>
      <c r="D179" s="535"/>
      <c r="E179" s="535"/>
      <c r="F179" s="535"/>
      <c r="G179" s="535"/>
      <c r="H179" s="535"/>
      <c r="I179" s="535"/>
      <c r="J179" s="535"/>
      <c r="K179" s="535"/>
      <c r="L179" s="535"/>
      <c r="M179" s="535"/>
      <c r="N179" s="535"/>
    </row>
  </sheetData>
  <mergeCells count="17">
    <mergeCell ref="A44:M44"/>
    <mergeCell ref="A46:L46"/>
    <mergeCell ref="M46:N46"/>
    <mergeCell ref="A178:N178"/>
    <mergeCell ref="A179:N179"/>
    <mergeCell ref="A43:M43"/>
    <mergeCell ref="A9:N9"/>
    <mergeCell ref="L26:M26"/>
    <mergeCell ref="H28:M28"/>
    <mergeCell ref="H29:M29"/>
    <mergeCell ref="H30:M30"/>
    <mergeCell ref="G31:M31"/>
    <mergeCell ref="A33:M33"/>
    <mergeCell ref="A34:M34"/>
    <mergeCell ref="A35:M35"/>
    <mergeCell ref="A36:M36"/>
    <mergeCell ref="A42:M42"/>
  </mergeCells>
  <pageMargins left="0.51181102362204722" right="0.51181102362204722" top="0.78740157480314965" bottom="0.78740157480314965" header="0.31496062992125984" footer="0.31496062992125984"/>
  <pageSetup paperSize="9" scale="42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1" tint="0.34998626667073579"/>
    <pageSetUpPr fitToPage="1"/>
  </sheetPr>
  <dimension ref="A1:P40"/>
  <sheetViews>
    <sheetView showOutlineSymbols="0" showWhiteSpace="0" view="pageBreakPreview" zoomScale="90" zoomScaleNormal="100" zoomScaleSheetLayoutView="90" workbookViewId="0">
      <selection activeCell="K29" sqref="K29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7.6640625" style="110" bestFit="1" customWidth="1"/>
    <col min="11" max="11" width="14.4414062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866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867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>
        <f>'MC - Varas'!N14</f>
        <v>0</v>
      </c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Varas'!N16</f>
        <v>0</v>
      </c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Varas'!N18</f>
        <v>0</v>
      </c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Varas'!N20</f>
        <v>0</v>
      </c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5.95" customHeight="1">
      <c r="A10" s="330">
        <v>3</v>
      </c>
      <c r="B10" s="330"/>
      <c r="C10" s="330"/>
      <c r="D10" s="330" t="s">
        <v>868</v>
      </c>
      <c r="E10" s="330"/>
      <c r="F10" s="335"/>
      <c r="G10" s="332"/>
      <c r="H10" s="332"/>
      <c r="I10" s="333">
        <f>I11+I18+I24+I30+I35</f>
        <v>846514.62</v>
      </c>
      <c r="J10" s="337">
        <v>1257615.05</v>
      </c>
      <c r="K10" s="336">
        <f>J10-I10</f>
        <v>411100.43000000005</v>
      </c>
    </row>
    <row r="11" spans="1:11" s="334" customFormat="1" ht="24" customHeight="1">
      <c r="A11" s="330" t="s">
        <v>24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5726.74</v>
      </c>
    </row>
    <row r="12" spans="1:11" ht="39" customHeight="1">
      <c r="A12" s="237" t="s">
        <v>619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Varas'!N24</f>
        <v>15.12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2060.6999999999998</v>
      </c>
    </row>
    <row r="13" spans="1:11" ht="25.95" customHeight="1">
      <c r="A13" s="237" t="s">
        <v>620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Varas'!N26</f>
        <v>25.1</v>
      </c>
      <c r="G13" s="271">
        <v>2.66</v>
      </c>
      <c r="H13" s="271">
        <f t="shared" si="0"/>
        <v>3.3</v>
      </c>
      <c r="I13" s="271">
        <f t="shared" si="1"/>
        <v>82.83</v>
      </c>
    </row>
    <row r="14" spans="1:11" ht="52.2" customHeight="1">
      <c r="A14" s="237" t="s">
        <v>621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Varas'!N28</f>
        <v>21.72</v>
      </c>
      <c r="G14" s="271">
        <v>8.5299999999999994</v>
      </c>
      <c r="H14" s="271">
        <f t="shared" si="0"/>
        <v>10.6</v>
      </c>
      <c r="I14" s="271">
        <f t="shared" si="1"/>
        <v>230.23</v>
      </c>
    </row>
    <row r="15" spans="1:11" ht="39" customHeight="1">
      <c r="A15" s="237" t="s">
        <v>622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Varas'!N30</f>
        <v>217.2</v>
      </c>
      <c r="G15" s="271">
        <v>2.93</v>
      </c>
      <c r="H15" s="271">
        <f t="shared" si="0"/>
        <v>3.64</v>
      </c>
      <c r="I15" s="271">
        <f t="shared" si="1"/>
        <v>790.61</v>
      </c>
    </row>
    <row r="16" spans="1:11" ht="25.95" customHeight="1">
      <c r="A16" s="237" t="s">
        <v>623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Varas'!N32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5.95" customHeight="1">
      <c r="A17" s="237" t="s">
        <v>624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Varas'!N34</f>
        <v>75.599999999999994</v>
      </c>
      <c r="G17" s="271">
        <f>CPUs!H37</f>
        <v>26.78</v>
      </c>
      <c r="H17" s="271">
        <f t="shared" si="0"/>
        <v>33.270000000000003</v>
      </c>
      <c r="I17" s="271">
        <f t="shared" si="1"/>
        <v>2515.21</v>
      </c>
    </row>
    <row r="18" spans="1:16" s="334" customFormat="1" ht="24" customHeight="1">
      <c r="A18" s="330" t="s">
        <v>563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10882.939999999999</v>
      </c>
    </row>
    <row r="19" spans="1:16" ht="52.2" customHeight="1">
      <c r="A19" s="237" t="s">
        <v>625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Varas'!N37</f>
        <v>48.75</v>
      </c>
      <c r="G19" s="271">
        <v>14.96</v>
      </c>
      <c r="H19" s="271">
        <f t="shared" si="0"/>
        <v>18.579999999999998</v>
      </c>
      <c r="I19" s="271">
        <f>ROUND(H19*F19,2)</f>
        <v>905.78</v>
      </c>
    </row>
    <row r="20" spans="1:16" ht="39" customHeight="1">
      <c r="A20" s="237" t="s">
        <v>626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Varas'!N41</f>
        <v>560.63</v>
      </c>
      <c r="G20" s="271">
        <v>2.93</v>
      </c>
      <c r="H20" s="271">
        <f t="shared" si="0"/>
        <v>3.64</v>
      </c>
      <c r="I20" s="271">
        <f>ROUND(H20*F20,2)</f>
        <v>2040.69</v>
      </c>
    </row>
    <row r="21" spans="1:16" ht="25.95" customHeight="1">
      <c r="A21" s="237" t="s">
        <v>627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Varas'!N43</f>
        <v>44.73</v>
      </c>
      <c r="G21" s="271">
        <v>82.09</v>
      </c>
      <c r="H21" s="271">
        <f t="shared" si="0"/>
        <v>101.98</v>
      </c>
      <c r="I21" s="271">
        <f>ROUND(H21*F21,2)</f>
        <v>4561.57</v>
      </c>
    </row>
    <row r="22" spans="1:16" ht="39" customHeight="1">
      <c r="A22" s="237" t="s">
        <v>628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Varas'!N45</f>
        <v>514.4</v>
      </c>
      <c r="G22" s="271">
        <v>2.93</v>
      </c>
      <c r="H22" s="271">
        <f t="shared" si="0"/>
        <v>3.64</v>
      </c>
      <c r="I22" s="271">
        <f>ROUND(H22*F22,2)</f>
        <v>1872.42</v>
      </c>
    </row>
    <row r="23" spans="1:16" ht="25.95" customHeight="1">
      <c r="A23" s="237" t="s">
        <v>629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Varas'!N47</f>
        <v>44.73</v>
      </c>
      <c r="G23" s="271">
        <v>27.04</v>
      </c>
      <c r="H23" s="271">
        <f t="shared" si="0"/>
        <v>33.590000000000003</v>
      </c>
      <c r="I23" s="271">
        <f>ROUND(H23*F23,2)</f>
        <v>1502.48</v>
      </c>
    </row>
    <row r="24" spans="1:16" s="334" customFormat="1" ht="31.2" customHeight="1">
      <c r="A24" s="330" t="s">
        <v>564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432492.6</v>
      </c>
    </row>
    <row r="25" spans="1:16" ht="39" customHeight="1">
      <c r="A25" s="237" t="s">
        <v>630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Varas'!N50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631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Varas'!N53</f>
        <v>0.59</v>
      </c>
      <c r="G26" s="271">
        <v>581.69000000000005</v>
      </c>
      <c r="H26" s="271">
        <f t="shared" si="2"/>
        <v>722.63</v>
      </c>
      <c r="I26" s="271">
        <f>ROUND(H26*F26,2)</f>
        <v>426.35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632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Varas'!N60</f>
        <v>41.02</v>
      </c>
      <c r="G27" s="271">
        <v>3843.08</v>
      </c>
      <c r="H27" s="271">
        <f t="shared" si="0"/>
        <v>4774.26</v>
      </c>
      <c r="I27" s="271">
        <f>ROUND(H27*F27,2)</f>
        <v>195840.15</v>
      </c>
    </row>
    <row r="28" spans="1:16" ht="39" customHeight="1">
      <c r="A28" s="237" t="s">
        <v>633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Varas'!N67</f>
        <v>180</v>
      </c>
      <c r="G28" s="271">
        <f>CPUs!H66</f>
        <v>780.37999999999988</v>
      </c>
      <c r="H28" s="271">
        <f t="shared" si="0"/>
        <v>969.47</v>
      </c>
      <c r="I28" s="271">
        <f>ROUND(H28*F28,2)</f>
        <v>174504.6</v>
      </c>
    </row>
    <row r="29" spans="1:16" ht="24" customHeight="1">
      <c r="A29" s="237" t="s">
        <v>634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Varas'!N70</f>
        <v>55.8</v>
      </c>
      <c r="G29" s="271">
        <f>CPUs!H74</f>
        <v>890.38</v>
      </c>
      <c r="H29" s="271">
        <f t="shared" si="0"/>
        <v>1106.1199999999999</v>
      </c>
      <c r="I29" s="271">
        <f>ROUND(H29*F29,2)</f>
        <v>61721.5</v>
      </c>
    </row>
    <row r="30" spans="1:16" s="334" customFormat="1" ht="24" customHeight="1">
      <c r="A30" s="330" t="s">
        <v>565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396930.06</v>
      </c>
    </row>
    <row r="31" spans="1:16" ht="39" customHeight="1">
      <c r="A31" s="237" t="s">
        <v>635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Varas'!N74</f>
        <v>480</v>
      </c>
      <c r="G31" s="271">
        <f>CPUs!H90</f>
        <v>537.33000000000004</v>
      </c>
      <c r="H31" s="271">
        <f t="shared" si="0"/>
        <v>667.53</v>
      </c>
      <c r="I31" s="271">
        <f>ROUND(H31*F31,2)</f>
        <v>320414.40000000002</v>
      </c>
    </row>
    <row r="32" spans="1:16" ht="64.95" customHeight="1">
      <c r="A32" s="237" t="s">
        <v>636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Varas'!N78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66" hidden="1">
      <c r="A33" s="237" t="s">
        <v>637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Varas'!N80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638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Varas'!N82</f>
        <v>43.8</v>
      </c>
      <c r="G34" s="271">
        <f>CPUs!H124</f>
        <v>1256.7800000000002</v>
      </c>
      <c r="H34" s="271">
        <f t="shared" si="0"/>
        <v>1561.3</v>
      </c>
      <c r="I34" s="271">
        <f>ROUND(H34*F34,2)</f>
        <v>68384.94</v>
      </c>
    </row>
    <row r="35" spans="1:10" s="334" customFormat="1" ht="24.6" customHeight="1">
      <c r="A35" s="330" t="s">
        <v>583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482.28</v>
      </c>
    </row>
    <row r="36" spans="1:10">
      <c r="A36" s="237" t="s">
        <v>639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Varas'!N85</f>
        <v>76.650000000000006</v>
      </c>
      <c r="G36" s="271">
        <v>1.71</v>
      </c>
      <c r="H36" s="271">
        <f t="shared" ref="H36" si="3">ROUND(G36*(100%+$G$2),2)</f>
        <v>2.12</v>
      </c>
      <c r="I36" s="271">
        <f>ROUND(H36*F36,2)</f>
        <v>162.5</v>
      </c>
    </row>
    <row r="37" spans="1:10">
      <c r="A37" s="237" t="s">
        <v>640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846514.61999999988</v>
      </c>
      <c r="J39" s="324"/>
    </row>
    <row r="40" spans="1:10" ht="70.2" customHeight="1">
      <c r="A40" s="489"/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E1:F1"/>
    <mergeCell ref="G1:H1"/>
    <mergeCell ref="E2:F2"/>
    <mergeCell ref="G2:H2"/>
    <mergeCell ref="A3:I3"/>
    <mergeCell ref="A38:C38"/>
    <mergeCell ref="F38:G38"/>
    <mergeCell ref="H38:I38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1" tint="0.34998626667073579"/>
    <pageSetUpPr fitToPage="1"/>
  </sheetPr>
  <dimension ref="A1:X92"/>
  <sheetViews>
    <sheetView showGridLines="0" showOutlineSymbols="0" showWhiteSpace="0" view="pageBreakPreview" topLeftCell="A69" zoomScale="90" zoomScaleNormal="100" zoomScaleSheetLayoutView="90" workbookViewId="0">
      <selection activeCell="K29" sqref="K29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7.109375" style="110" bestFit="1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869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21.6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3.5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/>
      <c r="Q6" s="219"/>
      <c r="R6" s="258"/>
      <c r="S6" s="259"/>
    </row>
    <row r="7" spans="1:24">
      <c r="D7" s="219"/>
      <c r="E7" s="219"/>
      <c r="F7" s="219"/>
      <c r="G7" s="219"/>
      <c r="H7" s="219"/>
      <c r="I7" s="297" t="s">
        <v>535</v>
      </c>
      <c r="J7" s="224">
        <f>R8-1</f>
        <v>5</v>
      </c>
      <c r="K7" s="222" t="s">
        <v>392</v>
      </c>
      <c r="L7" s="220" t="s">
        <v>540</v>
      </c>
      <c r="M7" s="219">
        <f>3*J7</f>
        <v>15</v>
      </c>
      <c r="N7" s="220" t="s">
        <v>541</v>
      </c>
      <c r="P7" s="298"/>
      <c r="Q7" s="219"/>
      <c r="R7" s="258"/>
      <c r="S7" s="259"/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870</v>
      </c>
      <c r="Q8" s="219">
        <f>J3/4</f>
        <v>5.4</v>
      </c>
      <c r="R8" s="258">
        <v>6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/>
      <c r="Q9" s="219"/>
      <c r="R9" s="258"/>
      <c r="S9" s="259"/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/>
      <c r="Q10" s="219"/>
      <c r="R10" s="258"/>
      <c r="S10" s="259"/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/>
      <c r="Q11" s="219"/>
      <c r="R11" s="258"/>
      <c r="S11" s="259"/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/>
      <c r="Q12" s="219"/>
      <c r="R12" s="258"/>
      <c r="S12" s="259"/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 t="s">
        <v>361</v>
      </c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21.6</v>
      </c>
      <c r="F24" s="231">
        <f>J4</f>
        <v>3.5</v>
      </c>
      <c r="G24" s="232">
        <f>ROUND(E24*F24,2)</f>
        <v>75.599999999999994</v>
      </c>
      <c r="H24" s="232">
        <v>0.2</v>
      </c>
      <c r="I24" s="232"/>
      <c r="J24" s="232"/>
      <c r="K24" s="232"/>
      <c r="L24" s="232"/>
      <c r="M24" s="232">
        <f>G24*H24</f>
        <v>15.12</v>
      </c>
      <c r="N24" s="233">
        <f>M24</f>
        <v>15.12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12.55</v>
      </c>
      <c r="H26" s="257"/>
      <c r="I26" s="244"/>
      <c r="J26" s="244"/>
      <c r="K26" s="244"/>
      <c r="L26" s="244"/>
      <c r="M26" s="232"/>
      <c r="N26" s="233">
        <f>ROUND(G26*D26,2)</f>
        <v>25.1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25.1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15.12</v>
      </c>
      <c r="N28" s="233">
        <f>ROUND((G28*H28*K28)+(M28*K28),2)</f>
        <v>21.72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21.72</v>
      </c>
      <c r="N30" s="233">
        <f>ROUND(M30*L30,2)</f>
        <v>217.2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21.6</v>
      </c>
      <c r="F34" s="231">
        <f>F24</f>
        <v>3.5</v>
      </c>
      <c r="G34" s="244">
        <f>ROUND(E34*F34,2)</f>
        <v>75.599999999999994</v>
      </c>
      <c r="H34" s="244"/>
      <c r="I34" s="244"/>
      <c r="J34" s="244"/>
      <c r="K34" s="244"/>
      <c r="L34" s="244"/>
      <c r="M34" s="232"/>
      <c r="N34" s="233">
        <f>G34</f>
        <v>75.599999999999994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48.75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9.75</v>
      </c>
      <c r="H38" s="232"/>
      <c r="I38" s="232">
        <f>1+1.5</f>
        <v>2.5</v>
      </c>
      <c r="J38" s="232"/>
      <c r="K38" s="232"/>
      <c r="L38" s="232"/>
      <c r="M38" s="232">
        <f>ROUND(G38*I38*D38,2)</f>
        <v>48.75</v>
      </c>
      <c r="N38" s="248">
        <f>M38</f>
        <v>48.75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3.8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48.75</v>
      </c>
      <c r="N41" s="233">
        <f>ROUND(K41*M41*L41,2)</f>
        <v>560.63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6.39</v>
      </c>
      <c r="H43" s="244"/>
      <c r="I43" s="244">
        <f>J9-I38</f>
        <v>3.5</v>
      </c>
      <c r="J43" s="244"/>
      <c r="K43" s="244"/>
      <c r="L43" s="244"/>
      <c r="M43" s="232">
        <f>ROUND(G43*I43*D43,2)</f>
        <v>44.73</v>
      </c>
      <c r="N43" s="233">
        <f>M43</f>
        <v>44.73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44.73</v>
      </c>
      <c r="N45" s="233">
        <f>ROUND(M45*K45*L45,2)</f>
        <v>514.4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44.73</v>
      </c>
      <c r="N47" s="233">
        <f>M47</f>
        <v>44.73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871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0.59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2.93</v>
      </c>
      <c r="H54" s="232">
        <v>0.1</v>
      </c>
      <c r="I54" s="232"/>
      <c r="J54" s="232"/>
      <c r="K54" s="232"/>
      <c r="L54" s="232"/>
      <c r="M54" s="232">
        <f>ROUND(G54*H54*D54,2)</f>
        <v>0.59</v>
      </c>
      <c r="N54" s="248">
        <f>M54</f>
        <v>0.59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41.02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2.93</v>
      </c>
      <c r="H61" s="232"/>
      <c r="I61" s="232">
        <v>7</v>
      </c>
      <c r="J61" s="232"/>
      <c r="K61" s="232"/>
      <c r="L61" s="232"/>
      <c r="M61" s="232">
        <f>ROUND(G61*I61*D61,2)</f>
        <v>41.02</v>
      </c>
      <c r="N61" s="248">
        <f>M61</f>
        <v>41.02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3.5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180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15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180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55.8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10</v>
      </c>
      <c r="E71" s="231">
        <v>5.58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55.8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480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20</v>
      </c>
      <c r="E75" s="231">
        <f>J3+(0.15+0.15)</f>
        <v>21.900000000000002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438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12</v>
      </c>
      <c r="E76" s="231">
        <f>E65</f>
        <v>3.5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42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76.650000000000006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21.900000000000002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43.8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21.900000000000002</v>
      </c>
      <c r="F85" s="231">
        <f>E76</f>
        <v>3.5</v>
      </c>
      <c r="G85" s="244">
        <f>ROUND(E85*F85,2)</f>
        <v>76.650000000000006</v>
      </c>
      <c r="H85" s="244"/>
      <c r="I85" s="244"/>
      <c r="J85" s="244"/>
      <c r="K85" s="244"/>
      <c r="L85" s="244"/>
      <c r="M85" s="232"/>
      <c r="N85" s="233">
        <f>G85</f>
        <v>76.650000000000006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>&amp;L &amp;C &amp;R</oddHeader>
    <oddFooter>&amp;L &amp;C
 &amp;R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4" tint="-0.249977111117893"/>
    <pageSetUpPr fitToPage="1"/>
  </sheetPr>
  <dimension ref="A1:P40"/>
  <sheetViews>
    <sheetView showOutlineSymbols="0" showWhiteSpace="0" view="pageBreakPreview" zoomScale="90" zoomScaleNormal="100" zoomScaleSheetLayoutView="90" workbookViewId="0">
      <selection activeCell="M11" sqref="M11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7.6640625" style="110" bestFit="1" customWidth="1"/>
    <col min="11" max="11" width="15.8867187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873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874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 customHeight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>
        <f>'MC - Anibal'!N14</f>
        <v>0</v>
      </c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Anibal'!N16</f>
        <v>0</v>
      </c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Anibal'!N18</f>
        <v>0</v>
      </c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Anibal'!N20</f>
        <v>0</v>
      </c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5.95" customHeight="1">
      <c r="A10" s="330">
        <v>10</v>
      </c>
      <c r="B10" s="330"/>
      <c r="C10" s="330"/>
      <c r="D10" s="330" t="s">
        <v>875</v>
      </c>
      <c r="E10" s="330"/>
      <c r="F10" s="335"/>
      <c r="G10" s="332"/>
      <c r="H10" s="332"/>
      <c r="I10" s="333">
        <f>I11+I18+I24+I30+I35</f>
        <v>425778.32</v>
      </c>
      <c r="J10" s="341">
        <v>1225787.6000000001</v>
      </c>
      <c r="K10" s="340">
        <f>J10-I10</f>
        <v>800009.28</v>
      </c>
    </row>
    <row r="11" spans="1:11" s="334" customFormat="1" ht="24" customHeight="1">
      <c r="A11" s="330" t="s">
        <v>796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2193.4899999999998</v>
      </c>
    </row>
    <row r="12" spans="1:11" ht="39" customHeight="1">
      <c r="A12" s="237" t="s">
        <v>797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Mamede'!N24</f>
        <v>5.4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735.97</v>
      </c>
    </row>
    <row r="13" spans="1:11" ht="25.95" customHeight="1">
      <c r="A13" s="237" t="s">
        <v>798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Mamede'!N26</f>
        <v>19.3</v>
      </c>
      <c r="G13" s="271">
        <v>2.66</v>
      </c>
      <c r="H13" s="271">
        <f t="shared" si="0"/>
        <v>3.3</v>
      </c>
      <c r="I13" s="271">
        <f t="shared" si="1"/>
        <v>63.69</v>
      </c>
    </row>
    <row r="14" spans="1:11" ht="52.2" customHeight="1">
      <c r="A14" s="237" t="s">
        <v>799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Mamede'!N28</f>
        <v>9.5399999999999991</v>
      </c>
      <c r="G14" s="271">
        <v>8.5299999999999994</v>
      </c>
      <c r="H14" s="271">
        <f t="shared" si="0"/>
        <v>10.6</v>
      </c>
      <c r="I14" s="271">
        <f t="shared" si="1"/>
        <v>101.12</v>
      </c>
    </row>
    <row r="15" spans="1:11" ht="39" customHeight="1">
      <c r="A15" s="237" t="s">
        <v>800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Mamede'!N30</f>
        <v>95.4</v>
      </c>
      <c r="G15" s="271">
        <v>2.93</v>
      </c>
      <c r="H15" s="271">
        <f t="shared" si="0"/>
        <v>3.64</v>
      </c>
      <c r="I15" s="271">
        <f t="shared" si="1"/>
        <v>347.26</v>
      </c>
    </row>
    <row r="16" spans="1:11" ht="25.95" customHeight="1">
      <c r="A16" s="237" t="s">
        <v>801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Mamede'!N32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5.95" customHeight="1">
      <c r="A17" s="237" t="s">
        <v>802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Mamede'!N34</f>
        <v>27</v>
      </c>
      <c r="G17" s="271">
        <f>CPUs!H37</f>
        <v>26.78</v>
      </c>
      <c r="H17" s="271">
        <f t="shared" si="0"/>
        <v>33.270000000000003</v>
      </c>
      <c r="I17" s="271">
        <f t="shared" si="1"/>
        <v>898.29</v>
      </c>
    </row>
    <row r="18" spans="1:16" s="334" customFormat="1" ht="24" customHeight="1">
      <c r="A18" s="330" t="s">
        <v>803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8173.9000000000005</v>
      </c>
    </row>
    <row r="19" spans="1:16" ht="52.2" customHeight="1">
      <c r="A19" s="237" t="s">
        <v>804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Mamede'!N37</f>
        <v>42.15</v>
      </c>
      <c r="G19" s="271">
        <v>14.96</v>
      </c>
      <c r="H19" s="271">
        <f t="shared" si="0"/>
        <v>18.579999999999998</v>
      </c>
      <c r="I19" s="271">
        <f>ROUND(H19*F19,2)</f>
        <v>783.15</v>
      </c>
    </row>
    <row r="20" spans="1:16" ht="39" customHeight="1">
      <c r="A20" s="237" t="s">
        <v>805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Mamede'!N41</f>
        <v>484.73</v>
      </c>
      <c r="G20" s="271">
        <v>2.93</v>
      </c>
      <c r="H20" s="271">
        <f t="shared" si="0"/>
        <v>3.64</v>
      </c>
      <c r="I20" s="271">
        <f>ROUND(H20*F20,2)</f>
        <v>1764.42</v>
      </c>
    </row>
    <row r="21" spans="1:16" ht="25.95" customHeight="1">
      <c r="A21" s="237" t="s">
        <v>806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Mamede'!N43</f>
        <v>31.71</v>
      </c>
      <c r="G21" s="271">
        <v>82.09</v>
      </c>
      <c r="H21" s="271">
        <f t="shared" si="0"/>
        <v>101.98</v>
      </c>
      <c r="I21" s="271">
        <f>ROUND(H21*F21,2)</f>
        <v>3233.79</v>
      </c>
    </row>
    <row r="22" spans="1:16" ht="39" customHeight="1">
      <c r="A22" s="237" t="s">
        <v>807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Mamede'!N45</f>
        <v>364.67</v>
      </c>
      <c r="G22" s="271">
        <v>2.93</v>
      </c>
      <c r="H22" s="271">
        <f t="shared" si="0"/>
        <v>3.64</v>
      </c>
      <c r="I22" s="271">
        <f>ROUND(H22*F22,2)</f>
        <v>1327.4</v>
      </c>
    </row>
    <row r="23" spans="1:16" ht="25.95" customHeight="1">
      <c r="A23" s="237" t="s">
        <v>808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Mamede'!N47</f>
        <v>31.71</v>
      </c>
      <c r="G23" s="271">
        <v>27.04</v>
      </c>
      <c r="H23" s="271">
        <f t="shared" si="0"/>
        <v>33.590000000000003</v>
      </c>
      <c r="I23" s="271">
        <f>ROUND(H23*F23,2)</f>
        <v>1065.1400000000001</v>
      </c>
    </row>
    <row r="24" spans="1:16" s="334" customFormat="1" ht="31.2" customHeight="1">
      <c r="A24" s="330" t="s">
        <v>809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260309.07</v>
      </c>
    </row>
    <row r="25" spans="1:16" ht="39" customHeight="1">
      <c r="A25" s="237" t="s">
        <v>810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Mamede'!N50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811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Mamede'!N53</f>
        <v>0.5</v>
      </c>
      <c r="G26" s="271">
        <v>581.69000000000005</v>
      </c>
      <c r="H26" s="271">
        <f t="shared" si="2"/>
        <v>722.63</v>
      </c>
      <c r="I26" s="271">
        <f>ROUND(H26*F26,2)</f>
        <v>361.32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812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Mamede'!N60</f>
        <v>34.86</v>
      </c>
      <c r="G27" s="271">
        <v>3843.08</v>
      </c>
      <c r="H27" s="271">
        <f t="shared" si="0"/>
        <v>4774.26</v>
      </c>
      <c r="I27" s="271">
        <f>ROUND(H27*F27,2)</f>
        <v>166430.70000000001</v>
      </c>
    </row>
    <row r="28" spans="1:16" ht="39" customHeight="1">
      <c r="A28" s="237" t="s">
        <v>813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Mamede'!N67</f>
        <v>72</v>
      </c>
      <c r="G28" s="271">
        <f>CPUs!H66</f>
        <v>780.37999999999988</v>
      </c>
      <c r="H28" s="271">
        <f t="shared" si="0"/>
        <v>969.47</v>
      </c>
      <c r="I28" s="271">
        <f>ROUND(H28*F28,2)</f>
        <v>69801.84</v>
      </c>
    </row>
    <row r="29" spans="1:16" ht="24" customHeight="1">
      <c r="A29" s="237" t="s">
        <v>814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Mamede'!N70</f>
        <v>21.44</v>
      </c>
      <c r="G29" s="271">
        <f>CPUs!H74</f>
        <v>890.38</v>
      </c>
      <c r="H29" s="271">
        <f t="shared" si="0"/>
        <v>1106.1199999999999</v>
      </c>
      <c r="I29" s="271">
        <f>ROUND(H29*F29,2)</f>
        <v>23715.21</v>
      </c>
    </row>
    <row r="30" spans="1:16" s="334" customFormat="1" ht="24" customHeight="1">
      <c r="A30" s="330" t="s">
        <v>815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154722.93</v>
      </c>
    </row>
    <row r="31" spans="1:16" ht="28.2" customHeight="1">
      <c r="A31" s="237" t="s">
        <v>816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Mamede'!N74</f>
        <v>176.1</v>
      </c>
      <c r="G31" s="271">
        <f>CPUs!H90</f>
        <v>537.33000000000004</v>
      </c>
      <c r="H31" s="271">
        <f t="shared" si="0"/>
        <v>667.53</v>
      </c>
      <c r="I31" s="271">
        <f>ROUND(H31*F31,2)</f>
        <v>117552.03</v>
      </c>
    </row>
    <row r="32" spans="1:16" ht="34.950000000000003" customHeight="1">
      <c r="A32" s="237" t="s">
        <v>817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Mamede'!N78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66" hidden="1">
      <c r="A33" s="237" t="s">
        <v>818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Mamede'!N80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819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Mamede'!N82</f>
        <v>18.600000000000001</v>
      </c>
      <c r="G34" s="271">
        <f>CPUs!H124</f>
        <v>1256.7800000000002</v>
      </c>
      <c r="H34" s="271">
        <f t="shared" si="0"/>
        <v>1561.3</v>
      </c>
      <c r="I34" s="271">
        <f>ROUND(H34*F34,2)</f>
        <v>29040.18</v>
      </c>
    </row>
    <row r="35" spans="1:10" s="334" customFormat="1" ht="21.6" customHeight="1">
      <c r="A35" s="330" t="s">
        <v>820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378.92999999999995</v>
      </c>
    </row>
    <row r="36" spans="1:10">
      <c r="A36" s="237" t="s">
        <v>821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Mamede'!N85</f>
        <v>27.9</v>
      </c>
      <c r="G36" s="271">
        <v>1.71</v>
      </c>
      <c r="H36" s="271">
        <f t="shared" ref="H36" si="3">ROUND(G36*(100%+$G$2),2)</f>
        <v>2.12</v>
      </c>
      <c r="I36" s="271">
        <f>ROUND(H36*F36,2)</f>
        <v>59.15</v>
      </c>
    </row>
    <row r="37" spans="1:10">
      <c r="A37" s="237" t="s">
        <v>822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425778.32</v>
      </c>
      <c r="J39" s="324"/>
    </row>
    <row r="40" spans="1:10" ht="70.2" customHeight="1">
      <c r="A40" s="489" t="s">
        <v>378</v>
      </c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E1:F1"/>
    <mergeCell ref="G1:H1"/>
    <mergeCell ref="E2:F2"/>
    <mergeCell ref="G2:H2"/>
    <mergeCell ref="A3:I3"/>
    <mergeCell ref="A38:C38"/>
    <mergeCell ref="F38:G38"/>
    <mergeCell ref="H38:I38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4" tint="-0.249977111117893"/>
    <pageSetUpPr fitToPage="1"/>
  </sheetPr>
  <dimension ref="A1:X92"/>
  <sheetViews>
    <sheetView showGridLines="0" showOutlineSymbols="0" showWhiteSpace="0" view="pageBreakPreview" topLeftCell="A48" zoomScale="90" zoomScaleNormal="100" zoomScaleSheetLayoutView="90" workbookViewId="0">
      <selection activeCell="M11" sqref="M11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9.109375" style="110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876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9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  <c r="P5" s="110" t="s">
        <v>877</v>
      </c>
      <c r="Q5" s="110">
        <f>J3/4</f>
        <v>2.25</v>
      </c>
      <c r="R5" s="110">
        <v>3</v>
      </c>
      <c r="S5" s="110" t="s">
        <v>417</v>
      </c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/>
      <c r="Q6" s="219"/>
      <c r="R6" s="258"/>
      <c r="S6" s="259"/>
    </row>
    <row r="7" spans="1:24">
      <c r="D7" s="219"/>
      <c r="E7" s="219"/>
      <c r="F7" s="219"/>
      <c r="G7" s="219"/>
      <c r="H7" s="219"/>
      <c r="I7" s="297" t="s">
        <v>535</v>
      </c>
      <c r="J7" s="224">
        <f>R5-1</f>
        <v>2</v>
      </c>
      <c r="K7" s="222" t="s">
        <v>392</v>
      </c>
      <c r="L7" s="220" t="s">
        <v>540</v>
      </c>
      <c r="M7" s="219">
        <f>3*J7</f>
        <v>6</v>
      </c>
      <c r="N7" s="220" t="s">
        <v>541</v>
      </c>
      <c r="P7" s="298"/>
      <c r="Q7" s="219"/>
      <c r="R7" s="258"/>
      <c r="S7" s="259"/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/>
      <c r="Q8" s="219"/>
      <c r="R8" s="258"/>
      <c r="S8" s="259"/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/>
      <c r="Q9" s="219"/>
      <c r="R9" s="258"/>
      <c r="S9" s="259"/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/>
      <c r="Q10" s="219"/>
      <c r="R10" s="258"/>
      <c r="S10" s="259"/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/>
      <c r="Q11" s="219"/>
      <c r="R11" s="258"/>
      <c r="S11" s="259"/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/>
      <c r="Q12" s="219"/>
      <c r="R12" s="258"/>
      <c r="S12" s="259"/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6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 t="s">
        <v>361</v>
      </c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9</v>
      </c>
      <c r="F24" s="231">
        <f>J4</f>
        <v>3</v>
      </c>
      <c r="G24" s="232">
        <f>ROUND(E24*F24,2)</f>
        <v>27</v>
      </c>
      <c r="H24" s="232">
        <v>0.2</v>
      </c>
      <c r="I24" s="232"/>
      <c r="J24" s="232"/>
      <c r="K24" s="232"/>
      <c r="L24" s="232"/>
      <c r="M24" s="232">
        <f>G24*H24</f>
        <v>5.4</v>
      </c>
      <c r="N24" s="233">
        <f>M24</f>
        <v>5.4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9.65</v>
      </c>
      <c r="H26" s="257"/>
      <c r="I26" s="244"/>
      <c r="J26" s="244"/>
      <c r="K26" s="244"/>
      <c r="L26" s="244"/>
      <c r="M26" s="232"/>
      <c r="N26" s="233">
        <f>ROUND(G26*D26,2)</f>
        <v>19.3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19.3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5.4</v>
      </c>
      <c r="N28" s="233">
        <f>ROUND((G28*H28*K28)+(M28*K28),2)</f>
        <v>9.5399999999999991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9.5399999999999991</v>
      </c>
      <c r="N30" s="233">
        <f>ROUND(M30*L30,2)</f>
        <v>95.4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9</v>
      </c>
      <c r="F34" s="231">
        <f>F24</f>
        <v>3</v>
      </c>
      <c r="G34" s="244">
        <f>ROUND(E34*F34,2)</f>
        <v>27</v>
      </c>
      <c r="H34" s="244"/>
      <c r="I34" s="244"/>
      <c r="J34" s="244"/>
      <c r="K34" s="244"/>
      <c r="L34" s="244"/>
      <c r="M34" s="232"/>
      <c r="N34" s="233">
        <f>G34</f>
        <v>27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42.15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8.43</v>
      </c>
      <c r="H38" s="232"/>
      <c r="I38" s="232">
        <f>1+1.5</f>
        <v>2.5</v>
      </c>
      <c r="J38" s="232"/>
      <c r="K38" s="232"/>
      <c r="L38" s="232"/>
      <c r="M38" s="232">
        <f>ROUND(G38*I38*D38,2)</f>
        <v>42.15</v>
      </c>
      <c r="N38" s="248">
        <f>M38</f>
        <v>42.15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3.3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42.15</v>
      </c>
      <c r="N41" s="233">
        <f>ROUND(K41*M41*L41,2)</f>
        <v>484.73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4.53</v>
      </c>
      <c r="H43" s="244"/>
      <c r="I43" s="244">
        <f>J9-I38</f>
        <v>3.5</v>
      </c>
      <c r="J43" s="244"/>
      <c r="K43" s="244"/>
      <c r="L43" s="244"/>
      <c r="M43" s="232">
        <f>ROUND(G43*I43*D43,2)</f>
        <v>31.71</v>
      </c>
      <c r="N43" s="233">
        <f>M43</f>
        <v>31.71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31.71</v>
      </c>
      <c r="N45" s="233">
        <f>ROUND(M45*K45*L45,2)</f>
        <v>364.67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31.71</v>
      </c>
      <c r="N47" s="233">
        <f>M47</f>
        <v>31.71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858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2.4900000000000002</v>
      </c>
      <c r="H54" s="232">
        <v>0.1</v>
      </c>
      <c r="I54" s="232"/>
      <c r="J54" s="232"/>
      <c r="K54" s="232"/>
      <c r="L54" s="232"/>
      <c r="M54" s="232">
        <f>ROUND(G54*H54*D54,2)</f>
        <v>0.5</v>
      </c>
      <c r="N54" s="248">
        <f>M54</f>
        <v>0.5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34.86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2.4900000000000002</v>
      </c>
      <c r="H61" s="232"/>
      <c r="I61" s="232">
        <v>7</v>
      </c>
      <c r="J61" s="232"/>
      <c r="K61" s="232"/>
      <c r="L61" s="232"/>
      <c r="M61" s="232">
        <f>ROUND(G61*I61*D61,2)</f>
        <v>34.86</v>
      </c>
      <c r="N61" s="248">
        <f>M61</f>
        <v>34.86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72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6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72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21.44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4</v>
      </c>
      <c r="E71" s="231">
        <v>5.36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21.44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176.1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17</v>
      </c>
      <c r="E75" s="231">
        <f>J3+(0.15+0.15)</f>
        <v>9.3000000000000007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158.1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6</v>
      </c>
      <c r="E76" s="231">
        <f>E65</f>
        <v>3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18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27.9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9.3000000000000007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18.600000000000001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9.3000000000000007</v>
      </c>
      <c r="F85" s="231">
        <f>E76</f>
        <v>3</v>
      </c>
      <c r="G85" s="244">
        <f>ROUND(E85*F85,2)</f>
        <v>27.9</v>
      </c>
      <c r="H85" s="244"/>
      <c r="I85" s="244"/>
      <c r="J85" s="244"/>
      <c r="K85" s="244"/>
      <c r="L85" s="244"/>
      <c r="M85" s="232"/>
      <c r="N85" s="233">
        <f>G85</f>
        <v>27.9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" right="0.5" top="1" bottom="1" header="0.5" footer="0.5"/>
  <pageSetup paperSize="9" scale="47" fitToHeight="0" orientation="portrait" r:id="rId1"/>
  <headerFooter>
    <oddHeader>&amp;L &amp;C &amp;R</oddHeader>
    <oddFooter>&amp;L &amp;C
 &amp;R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AL92"/>
  <sheetViews>
    <sheetView showGridLines="0" view="pageBreakPreview" topLeftCell="A7" zoomScale="85" zoomScaleNormal="100" zoomScaleSheetLayoutView="85" workbookViewId="0">
      <selection activeCell="Q16" sqref="Q16"/>
    </sheetView>
  </sheetViews>
  <sheetFormatPr defaultRowHeight="14.4"/>
  <cols>
    <col min="1" max="1" width="11.5546875" bestFit="1" customWidth="1"/>
    <col min="2" max="2" width="0.33203125" customWidth="1"/>
    <col min="3" max="3" width="43.5546875" customWidth="1"/>
    <col min="4" max="4" width="0.44140625" customWidth="1"/>
    <col min="6" max="6" width="0.44140625" customWidth="1"/>
    <col min="7" max="7" width="6.6640625" bestFit="1" customWidth="1"/>
    <col min="8" max="8" width="0.33203125" customWidth="1"/>
    <col min="9" max="9" width="9.5546875" bestFit="1" customWidth="1"/>
    <col min="10" max="10" width="0.33203125" customWidth="1"/>
    <col min="11" max="11" width="10.109375" customWidth="1"/>
    <col min="12" max="12" width="0.33203125" customWidth="1"/>
    <col min="13" max="13" width="10.44140625" customWidth="1"/>
    <col min="14" max="14" width="0.33203125" customWidth="1"/>
    <col min="15" max="15" width="10.44140625" customWidth="1"/>
    <col min="16" max="16" width="0.33203125" customWidth="1"/>
    <col min="17" max="17" width="13.44140625" customWidth="1"/>
    <col min="18" max="18" width="0.33203125" customWidth="1"/>
    <col min="19" max="19" width="9.33203125" customWidth="1"/>
    <col min="20" max="20" width="0.33203125" customWidth="1"/>
    <col min="21" max="21" width="7.88671875" customWidth="1"/>
    <col min="22" max="22" width="0.33203125" customWidth="1"/>
    <col min="23" max="23" width="9" customWidth="1"/>
    <col min="24" max="24" width="0.33203125" customWidth="1"/>
    <col min="25" max="25" width="10.6640625" customWidth="1"/>
    <col min="26" max="26" width="0.33203125" customWidth="1"/>
    <col min="28" max="28" width="0.33203125" customWidth="1"/>
    <col min="29" max="29" width="10.33203125" customWidth="1"/>
    <col min="31" max="31" width="15.5546875" bestFit="1" customWidth="1"/>
    <col min="32" max="32" width="16" bestFit="1" customWidth="1"/>
  </cols>
  <sheetData>
    <row r="1" spans="1:31">
      <c r="A1" s="536"/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  <c r="N1" s="537"/>
      <c r="O1" s="537"/>
      <c r="P1" s="537"/>
      <c r="Q1" s="537"/>
      <c r="R1" s="537"/>
      <c r="S1" s="537"/>
      <c r="T1" s="537"/>
      <c r="U1" s="537"/>
      <c r="V1" s="537"/>
      <c r="W1" s="537"/>
      <c r="X1" s="537"/>
      <c r="Y1" s="537"/>
      <c r="Z1" s="537"/>
      <c r="AA1" s="537"/>
      <c r="AB1" s="537"/>
      <c r="AC1" s="538"/>
    </row>
    <row r="2" spans="1:31">
      <c r="A2" s="539"/>
      <c r="B2" s="540"/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/>
      <c r="O2" s="540"/>
      <c r="P2" s="540"/>
      <c r="Q2" s="540"/>
      <c r="R2" s="540"/>
      <c r="S2" s="540"/>
      <c r="T2" s="540"/>
      <c r="U2" s="540"/>
      <c r="V2" s="540"/>
      <c r="W2" s="540"/>
      <c r="X2" s="540"/>
      <c r="Y2" s="540"/>
      <c r="Z2" s="540"/>
      <c r="AA2" s="540"/>
      <c r="AB2" s="540"/>
      <c r="AC2" s="541"/>
    </row>
    <row r="3" spans="1:31">
      <c r="A3" s="539"/>
      <c r="B3" s="540"/>
      <c r="C3" s="540"/>
      <c r="D3" s="540"/>
      <c r="E3" s="540"/>
      <c r="F3" s="540"/>
      <c r="G3" s="540"/>
      <c r="H3" s="540"/>
      <c r="I3" s="540"/>
      <c r="J3" s="540"/>
      <c r="K3" s="540"/>
      <c r="L3" s="540"/>
      <c r="M3" s="540"/>
      <c r="N3" s="540"/>
      <c r="O3" s="540"/>
      <c r="P3" s="540"/>
      <c r="Q3" s="540"/>
      <c r="R3" s="540"/>
      <c r="S3" s="540"/>
      <c r="T3" s="540"/>
      <c r="U3" s="540"/>
      <c r="V3" s="540"/>
      <c r="W3" s="540"/>
      <c r="X3" s="540"/>
      <c r="Y3" s="540"/>
      <c r="Z3" s="540"/>
      <c r="AA3" s="540"/>
      <c r="AB3" s="540"/>
      <c r="AC3" s="541"/>
    </row>
    <row r="4" spans="1:31">
      <c r="A4" s="539"/>
      <c r="B4" s="540"/>
      <c r="C4" s="540"/>
      <c r="D4" s="540"/>
      <c r="E4" s="540"/>
      <c r="F4" s="540"/>
      <c r="G4" s="540"/>
      <c r="H4" s="540"/>
      <c r="I4" s="540"/>
      <c r="J4" s="540"/>
      <c r="K4" s="540"/>
      <c r="L4" s="540"/>
      <c r="M4" s="540"/>
      <c r="N4" s="540"/>
      <c r="O4" s="540"/>
      <c r="P4" s="540"/>
      <c r="Q4" s="540"/>
      <c r="R4" s="540"/>
      <c r="S4" s="540"/>
      <c r="T4" s="540"/>
      <c r="U4" s="540"/>
      <c r="V4" s="540"/>
      <c r="W4" s="540"/>
      <c r="X4" s="540"/>
      <c r="Y4" s="540"/>
      <c r="Z4" s="540"/>
      <c r="AA4" s="540"/>
      <c r="AB4" s="540"/>
      <c r="AC4" s="541"/>
    </row>
    <row r="5" spans="1:31" ht="19.5" customHeight="1">
      <c r="A5" s="539"/>
      <c r="B5" s="540"/>
      <c r="C5" s="540"/>
      <c r="D5" s="540"/>
      <c r="E5" s="540"/>
      <c r="F5" s="540"/>
      <c r="G5" s="540"/>
      <c r="H5" s="540"/>
      <c r="I5" s="540"/>
      <c r="J5" s="540"/>
      <c r="K5" s="540"/>
      <c r="L5" s="540"/>
      <c r="M5" s="540"/>
      <c r="N5" s="540"/>
      <c r="O5" s="540"/>
      <c r="P5" s="540"/>
      <c r="Q5" s="540"/>
      <c r="R5" s="540"/>
      <c r="S5" s="540"/>
      <c r="T5" s="540"/>
      <c r="U5" s="540"/>
      <c r="V5" s="540"/>
      <c r="W5" s="540"/>
      <c r="X5" s="540"/>
      <c r="Y5" s="540"/>
      <c r="Z5" s="540"/>
      <c r="AA5" s="540"/>
      <c r="AB5" s="540"/>
      <c r="AC5" s="541"/>
    </row>
    <row r="6" spans="1:31">
      <c r="A6" s="542"/>
      <c r="B6" s="543"/>
      <c r="C6" s="543"/>
      <c r="D6" s="543"/>
      <c r="E6" s="543"/>
      <c r="F6" s="543"/>
      <c r="G6" s="543"/>
      <c r="H6" s="543"/>
      <c r="I6" s="543"/>
      <c r="J6" s="543"/>
      <c r="K6" s="543"/>
      <c r="L6" s="543"/>
      <c r="M6" s="543"/>
      <c r="N6" s="543"/>
      <c r="O6" s="543"/>
      <c r="P6" s="543"/>
      <c r="Q6" s="543"/>
      <c r="R6" s="543"/>
      <c r="S6" s="543"/>
      <c r="T6" s="543"/>
      <c r="U6" s="543"/>
      <c r="V6" s="543"/>
      <c r="W6" s="543"/>
      <c r="X6" s="543"/>
      <c r="Y6" s="543"/>
      <c r="Z6" s="543"/>
      <c r="AA6" s="543"/>
      <c r="AB6" s="543"/>
      <c r="AC6" s="544"/>
    </row>
    <row r="7" spans="1:31" ht="15.6">
      <c r="A7" s="365" t="str">
        <f>'[7]ORÇAMENTO PONTE APARECIDA'!A7</f>
        <v>Objeto: CONSTRUÇÃO DE PONTE DE MADEIRA NO MUNICÍPIO DE PRIMEIRA CRUZ-MA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 t="str">
        <f>'[7]ORÇAMENTO PONTE APARECIDA'!I8</f>
        <v>BDI: 24,23%</v>
      </c>
      <c r="R7" s="365"/>
      <c r="S7" s="365"/>
      <c r="T7" s="366"/>
      <c r="U7" s="366"/>
      <c r="V7" s="366"/>
    </row>
    <row r="8" spans="1:31" ht="15.6">
      <c r="A8" s="365" t="str">
        <f>'[7]ORÇAMENTO PONTE APARECIDA'!A8</f>
        <v>Localidade: Ponte APARECIDA</v>
      </c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 t="str">
        <f>'[7]ORÇAMENTO PONTE APARECIDA'!I9</f>
        <v xml:space="preserve">Encargos Sociais: 113,85% e 71,98% </v>
      </c>
      <c r="R8" s="365"/>
      <c r="S8" s="365"/>
      <c r="T8" s="366"/>
      <c r="U8" s="366"/>
      <c r="V8" s="366"/>
    </row>
    <row r="9" spans="1:31" ht="15.6">
      <c r="A9" s="365" t="str">
        <f>'[7]ORÇAMENTO PONTE APARECIDA'!A9</f>
        <v>Proponente: PREFEITURA MUNICIPAL DE PRIMEIRA CRUZ/MA</v>
      </c>
      <c r="B9" s="365"/>
      <c r="C9" s="365"/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365"/>
      <c r="O9" s="365"/>
      <c r="P9" s="365"/>
      <c r="Q9" s="365"/>
      <c r="R9" s="365"/>
      <c r="S9" s="365"/>
      <c r="T9" s="366"/>
      <c r="U9" s="366"/>
      <c r="V9" s="366"/>
    </row>
    <row r="10" spans="1:31" ht="15.6">
      <c r="A10" s="365" t="str">
        <f>'[7]ORÇAMENTO PONTE APARECIDA'!A10</f>
        <v xml:space="preserve">Data Ref.: </v>
      </c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6"/>
      <c r="U10" s="366"/>
      <c r="V10" s="366"/>
    </row>
    <row r="11" spans="1:31" ht="3.75" customHeight="1">
      <c r="A11" s="366"/>
      <c r="B11" s="366"/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</row>
    <row r="12" spans="1:31">
      <c r="A12" s="545" t="s">
        <v>884</v>
      </c>
      <c r="B12" s="545"/>
      <c r="C12" s="545"/>
      <c r="D12" s="545"/>
      <c r="E12" s="545"/>
      <c r="F12" s="545"/>
      <c r="G12" s="545"/>
      <c r="H12" s="545"/>
      <c r="I12" s="545"/>
      <c r="J12" s="545"/>
      <c r="K12" s="545"/>
      <c r="L12" s="545"/>
      <c r="M12" s="545"/>
      <c r="N12" s="545"/>
      <c r="O12" s="545"/>
      <c r="P12" s="545"/>
      <c r="Q12" s="545"/>
      <c r="R12" s="545"/>
      <c r="S12" s="545"/>
      <c r="T12" s="545"/>
      <c r="U12" s="545"/>
      <c r="V12" s="545"/>
      <c r="W12" s="545"/>
      <c r="X12" s="545"/>
      <c r="Y12" s="545"/>
      <c r="Z12" s="545"/>
      <c r="AA12" s="545"/>
      <c r="AB12" s="545"/>
      <c r="AC12" s="545"/>
      <c r="AD12" s="367"/>
      <c r="AE12" s="367"/>
    </row>
    <row r="13" spans="1:31">
      <c r="K13" s="368" t="s">
        <v>885</v>
      </c>
      <c r="M13" s="368"/>
      <c r="O13" s="368"/>
      <c r="Q13" s="369">
        <v>60</v>
      </c>
      <c r="S13" s="368" t="s">
        <v>355</v>
      </c>
    </row>
    <row r="14" spans="1:31">
      <c r="K14" t="s">
        <v>886</v>
      </c>
      <c r="M14" s="368"/>
      <c r="O14" s="368"/>
      <c r="Q14" s="369">
        <v>120</v>
      </c>
      <c r="S14" s="368" t="s">
        <v>28</v>
      </c>
    </row>
    <row r="15" spans="1:31">
      <c r="K15" t="s">
        <v>887</v>
      </c>
      <c r="M15" s="368"/>
      <c r="O15" s="368"/>
      <c r="Q15" s="369">
        <v>5</v>
      </c>
      <c r="S15" s="368" t="s">
        <v>28</v>
      </c>
    </row>
    <row r="16" spans="1:31">
      <c r="K16" s="368" t="s">
        <v>888</v>
      </c>
      <c r="M16" s="368"/>
      <c r="O16" s="368"/>
      <c r="Q16" s="369">
        <v>4</v>
      </c>
      <c r="S16" s="368" t="s">
        <v>28</v>
      </c>
    </row>
    <row r="17" spans="1:38">
      <c r="K17" s="368" t="s">
        <v>889</v>
      </c>
      <c r="M17" s="368"/>
      <c r="O17" s="368"/>
      <c r="Q17" s="369">
        <v>8</v>
      </c>
      <c r="S17" s="368" t="s">
        <v>28</v>
      </c>
    </row>
    <row r="18" spans="1:38">
      <c r="K18" s="368" t="s">
        <v>890</v>
      </c>
      <c r="M18" s="368"/>
      <c r="O18" s="368"/>
      <c r="Q18" s="369">
        <v>1.2</v>
      </c>
      <c r="S18" s="368"/>
    </row>
    <row r="19" spans="1:38">
      <c r="K19" s="368" t="s">
        <v>891</v>
      </c>
      <c r="M19" s="368"/>
      <c r="O19" s="368"/>
      <c r="Q19" s="369">
        <v>1.7</v>
      </c>
      <c r="S19" s="368" t="s">
        <v>892</v>
      </c>
    </row>
    <row r="20" spans="1:38">
      <c r="K20" s="368" t="s">
        <v>893</v>
      </c>
      <c r="M20" s="368"/>
      <c r="O20" s="368"/>
      <c r="Q20" s="369">
        <v>1.1000000000000001</v>
      </c>
      <c r="S20" s="368" t="s">
        <v>892</v>
      </c>
    </row>
    <row r="21" spans="1:38" s="366" customFormat="1" ht="15.6">
      <c r="A21" s="546" t="s">
        <v>3</v>
      </c>
      <c r="B21" s="370"/>
      <c r="C21" s="546" t="s">
        <v>6</v>
      </c>
      <c r="E21" s="546" t="s">
        <v>11</v>
      </c>
      <c r="G21" s="547" t="s">
        <v>894</v>
      </c>
      <c r="H21" s="547"/>
      <c r="I21" s="547"/>
      <c r="J21" s="547"/>
      <c r="K21" s="547"/>
      <c r="L21" s="547"/>
      <c r="M21" s="547"/>
      <c r="N21" s="547"/>
      <c r="O21" s="547"/>
      <c r="P21" s="547"/>
      <c r="Q21" s="547"/>
      <c r="R21" s="547"/>
      <c r="S21" s="547"/>
      <c r="T21" s="547"/>
      <c r="U21" s="547"/>
      <c r="V21" s="547"/>
      <c r="W21" s="547"/>
      <c r="X21" s="547"/>
      <c r="Y21" s="547"/>
      <c r="Z21" s="547"/>
      <c r="AA21" s="547"/>
      <c r="AB21" s="547"/>
      <c r="AC21" s="547"/>
    </row>
    <row r="22" spans="1:38" s="366" customFormat="1" ht="3" customHeight="1">
      <c r="A22" s="546"/>
      <c r="B22" s="370"/>
      <c r="C22" s="546"/>
      <c r="E22" s="546"/>
      <c r="G22" s="371"/>
      <c r="H22" s="371"/>
      <c r="I22" s="371"/>
      <c r="J22" s="371"/>
      <c r="K22" s="371"/>
      <c r="L22" s="371"/>
      <c r="M22" s="371"/>
      <c r="N22" s="371"/>
      <c r="O22" s="371"/>
      <c r="P22" s="371"/>
      <c r="Q22" s="371"/>
      <c r="R22" s="371"/>
      <c r="S22" s="371"/>
      <c r="T22" s="371"/>
      <c r="U22" s="371"/>
      <c r="V22" s="371"/>
      <c r="W22" s="371"/>
      <c r="X22" s="371"/>
      <c r="Y22" s="371"/>
      <c r="Z22" s="371"/>
      <c r="AA22" s="371"/>
      <c r="AB22" s="371"/>
      <c r="AC22" s="371"/>
    </row>
    <row r="23" spans="1:38" s="366" customFormat="1" ht="15.6">
      <c r="A23" s="546"/>
      <c r="B23" s="370"/>
      <c r="C23" s="546"/>
      <c r="E23" s="546"/>
      <c r="G23" s="372" t="s">
        <v>47</v>
      </c>
      <c r="H23" s="371"/>
      <c r="I23" s="372" t="s">
        <v>895</v>
      </c>
      <c r="J23" s="371"/>
      <c r="K23" s="373" t="s">
        <v>896</v>
      </c>
      <c r="L23" s="371"/>
      <c r="M23" s="372" t="s">
        <v>897</v>
      </c>
      <c r="N23" s="371"/>
      <c r="O23" s="373" t="s">
        <v>77</v>
      </c>
      <c r="P23" s="371"/>
      <c r="Q23" s="373" t="s">
        <v>898</v>
      </c>
      <c r="R23" s="371"/>
      <c r="S23" s="374" t="s">
        <v>899</v>
      </c>
      <c r="T23" s="371"/>
      <c r="U23" s="373" t="s">
        <v>900</v>
      </c>
      <c r="V23" s="371"/>
      <c r="W23" s="373" t="s">
        <v>901</v>
      </c>
      <c r="X23" s="371"/>
      <c r="Y23" s="373" t="s">
        <v>7</v>
      </c>
      <c r="Z23" s="371"/>
      <c r="AA23" s="373" t="s">
        <v>902</v>
      </c>
      <c r="AB23" s="371"/>
      <c r="AC23" s="373" t="s">
        <v>10</v>
      </c>
    </row>
    <row r="24" spans="1:38" s="375" customFormat="1">
      <c r="A24" s="375" t="s">
        <v>903</v>
      </c>
      <c r="Q24" s="376"/>
    </row>
    <row r="25" spans="1:38">
      <c r="K25" s="368"/>
      <c r="M25" s="368"/>
      <c r="O25" s="368"/>
      <c r="Q25" s="369"/>
      <c r="S25" s="368"/>
    </row>
    <row r="26" spans="1:38">
      <c r="A26" s="377" t="s">
        <v>156</v>
      </c>
      <c r="B26" s="378"/>
      <c r="C26" s="379" t="s">
        <v>19</v>
      </c>
      <c r="D26" s="379"/>
      <c r="E26" s="379"/>
      <c r="F26" s="379"/>
      <c r="G26" s="380"/>
      <c r="H26" s="380"/>
      <c r="I26" s="380"/>
      <c r="J26" s="380"/>
      <c r="K26" s="380"/>
      <c r="L26" s="380"/>
      <c r="M26" s="380"/>
      <c r="N26" s="380"/>
      <c r="O26" s="380"/>
      <c r="P26" s="380"/>
      <c r="Q26" s="380"/>
      <c r="R26" s="380"/>
      <c r="S26" s="367"/>
      <c r="T26" s="380"/>
      <c r="U26" s="367"/>
      <c r="V26" s="380"/>
      <c r="W26" s="367"/>
      <c r="X26" s="380"/>
      <c r="Y26" s="367"/>
      <c r="Z26" s="380"/>
      <c r="AA26" s="367"/>
      <c r="AB26" s="380"/>
      <c r="AC26" s="367"/>
      <c r="AF26" s="381">
        <f>'[7]ORÇAMENTO PONTE APARECIDA'!J49</f>
        <v>493241.72</v>
      </c>
      <c r="AG26" s="381" t="str">
        <f>'[7]ORÇAMENTO PONTE APARECIDA'!K49</f>
        <v>1.289.469,35</v>
      </c>
    </row>
    <row r="27" spans="1:38" s="387" customFormat="1" ht="28.8">
      <c r="A27" s="382" t="s">
        <v>12</v>
      </c>
      <c r="B27" s="383"/>
      <c r="C27" s="384" t="s">
        <v>904</v>
      </c>
      <c r="D27" s="383"/>
      <c r="E27" s="382" t="s">
        <v>355</v>
      </c>
      <c r="F27" s="383"/>
      <c r="G27" s="383"/>
      <c r="H27" s="383"/>
      <c r="I27" s="385">
        <v>3</v>
      </c>
      <c r="J27" s="383"/>
      <c r="K27" s="383"/>
      <c r="L27" s="383"/>
      <c r="M27" s="385">
        <v>2</v>
      </c>
      <c r="N27" s="383"/>
      <c r="O27" s="383"/>
      <c r="P27" s="383"/>
      <c r="Q27" s="383"/>
      <c r="R27" s="383"/>
      <c r="S27" s="383"/>
      <c r="T27" s="383"/>
      <c r="U27" s="383"/>
      <c r="V27" s="383"/>
      <c r="W27" s="383"/>
      <c r="X27" s="383"/>
      <c r="Y27" s="386">
        <v>1</v>
      </c>
      <c r="Z27" s="383"/>
      <c r="AA27" s="383"/>
      <c r="AB27" s="383"/>
      <c r="AC27" s="385">
        <f>ROUND(I27*M27*Y27,2)</f>
        <v>6</v>
      </c>
    </row>
    <row r="28" spans="1:38" s="368" customFormat="1">
      <c r="A28" s="382" t="s">
        <v>17</v>
      </c>
      <c r="B28" s="388"/>
      <c r="C28" s="388" t="s">
        <v>905</v>
      </c>
      <c r="D28" s="388"/>
      <c r="E28" s="389" t="s">
        <v>203</v>
      </c>
      <c r="F28" s="388"/>
      <c r="G28" s="388"/>
      <c r="H28" s="388"/>
      <c r="I28" s="388"/>
      <c r="J28" s="388"/>
      <c r="K28" s="388"/>
      <c r="L28" s="388"/>
      <c r="M28" s="388"/>
      <c r="N28" s="388"/>
      <c r="O28" s="388"/>
      <c r="P28" s="388"/>
      <c r="Q28" s="388"/>
      <c r="R28" s="388"/>
      <c r="S28" s="388"/>
      <c r="T28" s="388"/>
      <c r="U28" s="388"/>
      <c r="V28" s="388"/>
      <c r="W28" s="388"/>
      <c r="X28" s="388"/>
      <c r="Y28" s="390">
        <v>4</v>
      </c>
      <c r="Z28" s="388"/>
      <c r="AA28" s="388"/>
      <c r="AB28" s="388"/>
      <c r="AC28" s="391">
        <f>Y28</f>
        <v>4</v>
      </c>
      <c r="AE28" s="368">
        <v>6</v>
      </c>
      <c r="AF28" s="392">
        <f>ROUND(AE28*AE29*AE30,2)</f>
        <v>26400</v>
      </c>
    </row>
    <row r="29" spans="1:38" s="368" customFormat="1">
      <c r="A29" s="382" t="s">
        <v>413</v>
      </c>
      <c r="B29" s="388"/>
      <c r="C29" s="388" t="s">
        <v>906</v>
      </c>
      <c r="D29" s="388"/>
      <c r="E29" s="389" t="s">
        <v>355</v>
      </c>
      <c r="F29" s="388"/>
      <c r="G29" s="391">
        <v>4</v>
      </c>
      <c r="H29" s="388"/>
      <c r="I29" s="391">
        <v>4</v>
      </c>
      <c r="J29" s="388"/>
      <c r="K29" s="388"/>
      <c r="L29" s="388"/>
      <c r="M29" s="388"/>
      <c r="N29" s="388"/>
      <c r="O29" s="388"/>
      <c r="P29" s="388"/>
      <c r="Q29" s="388"/>
      <c r="R29" s="388"/>
      <c r="S29" s="388"/>
      <c r="T29" s="388"/>
      <c r="U29" s="388"/>
      <c r="V29" s="388"/>
      <c r="W29" s="388"/>
      <c r="X29" s="388"/>
      <c r="Y29" s="390">
        <v>1</v>
      </c>
      <c r="Z29" s="388"/>
      <c r="AA29" s="388"/>
      <c r="AB29" s="388"/>
      <c r="AC29" s="391">
        <f>ROUND(G29*I29*Y29,2)</f>
        <v>16</v>
      </c>
      <c r="AE29" s="388">
        <v>22000</v>
      </c>
    </row>
    <row r="30" spans="1:38" s="368" customFormat="1">
      <c r="A30" s="382" t="s">
        <v>18</v>
      </c>
      <c r="B30" s="388"/>
      <c r="C30" s="388" t="str">
        <f>'[7]ORÇAMENTO PONTE APARECIDA'!B20</f>
        <v>Transporte local de madeira</v>
      </c>
      <c r="D30" s="388"/>
      <c r="E30" s="389" t="s">
        <v>907</v>
      </c>
      <c r="F30" s="388"/>
      <c r="G30" s="548" t="s">
        <v>908</v>
      </c>
      <c r="H30" s="549"/>
      <c r="I30" s="549"/>
      <c r="J30" s="549"/>
      <c r="K30" s="549"/>
      <c r="L30" s="549"/>
      <c r="M30" s="549"/>
      <c r="N30" s="549"/>
      <c r="O30" s="550"/>
      <c r="P30" s="388"/>
      <c r="Q30" s="391">
        <f>'MEMÓRIA APOIO - PONE DE MADEIRA'!F53</f>
        <v>902.17609247631935</v>
      </c>
      <c r="R30" s="388"/>
      <c r="S30" s="388"/>
      <c r="T30" s="388"/>
      <c r="U30" s="388"/>
      <c r="V30" s="388"/>
      <c r="W30" s="391">
        <f>Q20</f>
        <v>1.1000000000000001</v>
      </c>
      <c r="X30" s="388"/>
      <c r="Y30" s="393">
        <v>40</v>
      </c>
      <c r="Z30" s="388"/>
      <c r="AA30" s="389" t="s">
        <v>909</v>
      </c>
      <c r="AB30" s="388"/>
      <c r="AC30" s="391">
        <f>ROUND(Q30*W30*Y30,2)</f>
        <v>39695.75</v>
      </c>
      <c r="AE30" s="368">
        <v>0.2</v>
      </c>
    </row>
    <row r="31" spans="1:38">
      <c r="A31" s="377" t="s">
        <v>910</v>
      </c>
      <c r="B31" s="378"/>
      <c r="C31" s="379" t="s">
        <v>911</v>
      </c>
      <c r="D31" s="379"/>
      <c r="E31" s="379"/>
      <c r="F31" s="379"/>
      <c r="G31" s="380"/>
      <c r="H31" s="380"/>
      <c r="I31" s="380"/>
      <c r="J31" s="380"/>
      <c r="K31" s="380"/>
      <c r="L31" s="380"/>
      <c r="M31" s="380"/>
      <c r="N31" s="380"/>
      <c r="O31" s="380"/>
      <c r="P31" s="380"/>
      <c r="Q31" s="380"/>
      <c r="R31" s="380"/>
      <c r="S31" s="367"/>
      <c r="T31" s="380"/>
      <c r="U31" s="367"/>
      <c r="V31" s="380"/>
      <c r="W31" s="367"/>
      <c r="X31" s="380"/>
      <c r="Y31" s="367"/>
      <c r="Z31" s="380"/>
      <c r="AA31" s="367"/>
      <c r="AB31" s="380"/>
      <c r="AC31" s="367"/>
    </row>
    <row r="32" spans="1:38" s="368" customFormat="1">
      <c r="A32" s="382" t="s">
        <v>26</v>
      </c>
      <c r="B32" s="388"/>
      <c r="C32" s="388" t="s">
        <v>912</v>
      </c>
      <c r="D32" s="388"/>
      <c r="E32" s="389" t="s">
        <v>364</v>
      </c>
      <c r="F32" s="388"/>
      <c r="G32" s="391"/>
      <c r="H32" s="388"/>
      <c r="I32" s="391"/>
      <c r="J32" s="388"/>
      <c r="K32" s="391"/>
      <c r="L32" s="388"/>
      <c r="M32" s="391">
        <v>4</v>
      </c>
      <c r="N32" s="391"/>
      <c r="O32" s="391">
        <f>Q13</f>
        <v>60</v>
      </c>
      <c r="P32" s="388"/>
      <c r="Q32" s="391"/>
      <c r="R32" s="388"/>
      <c r="S32" s="391"/>
      <c r="T32" s="388"/>
      <c r="U32" s="388"/>
      <c r="V32" s="388"/>
      <c r="W32" s="391"/>
      <c r="X32" s="388"/>
      <c r="Y32" s="389" t="s">
        <v>913</v>
      </c>
      <c r="Z32" s="388"/>
      <c r="AA32" s="391">
        <v>2</v>
      </c>
      <c r="AB32" s="388"/>
      <c r="AC32" s="391">
        <f>ROUND(M32*O32*AA32,2)</f>
        <v>480</v>
      </c>
      <c r="AE32" s="394" t="e">
        <f>'[7]ORÇAMENTO PONTE APARECIDA'!#REF!</f>
        <v>#REF!</v>
      </c>
      <c r="AL32" s="391">
        <v>6</v>
      </c>
    </row>
    <row r="33" spans="1:38" s="368" customFormat="1">
      <c r="A33" s="382" t="s">
        <v>274</v>
      </c>
      <c r="B33" s="388"/>
      <c r="C33" s="388" t="s">
        <v>914</v>
      </c>
      <c r="D33" s="388"/>
      <c r="E33" s="389" t="s">
        <v>907</v>
      </c>
      <c r="F33" s="388"/>
      <c r="G33" s="388"/>
      <c r="H33" s="388"/>
      <c r="I33" s="388"/>
      <c r="J33" s="388"/>
      <c r="K33" s="388"/>
      <c r="L33" s="388"/>
      <c r="M33" s="388"/>
      <c r="N33" s="388"/>
      <c r="O33" s="388"/>
      <c r="P33" s="388"/>
      <c r="Q33" s="391">
        <f>AC32</f>
        <v>480</v>
      </c>
      <c r="R33" s="388"/>
      <c r="S33" s="391">
        <f>Q18</f>
        <v>1.2</v>
      </c>
      <c r="T33" s="388"/>
      <c r="U33" s="388"/>
      <c r="V33" s="388"/>
      <c r="W33" s="391">
        <f>Q19</f>
        <v>1.7</v>
      </c>
      <c r="X33" s="388"/>
      <c r="Y33" s="393">
        <f>Q17</f>
        <v>8</v>
      </c>
      <c r="Z33" s="388"/>
      <c r="AA33" s="389" t="s">
        <v>909</v>
      </c>
      <c r="AB33" s="388"/>
      <c r="AC33" s="391">
        <f>ROUND(Q33*S33*W33*Y33,2)</f>
        <v>7833.6</v>
      </c>
      <c r="AE33" s="368">
        <v>1</v>
      </c>
      <c r="AL33" s="368">
        <v>28000</v>
      </c>
    </row>
    <row r="34" spans="1:38" s="368" customFormat="1">
      <c r="A34" s="382" t="s">
        <v>278</v>
      </c>
      <c r="B34" s="388"/>
      <c r="C34" s="388" t="s">
        <v>915</v>
      </c>
      <c r="D34" s="388"/>
      <c r="E34" s="389" t="s">
        <v>355</v>
      </c>
      <c r="F34" s="388"/>
      <c r="G34" s="391"/>
      <c r="H34" s="388"/>
      <c r="I34" s="391"/>
      <c r="J34" s="388"/>
      <c r="K34" s="388"/>
      <c r="L34" s="388"/>
      <c r="M34" s="388"/>
      <c r="N34" s="388"/>
      <c r="O34" s="391">
        <f>Q13</f>
        <v>60</v>
      </c>
      <c r="P34" s="388"/>
      <c r="Q34" s="388"/>
      <c r="R34" s="388"/>
      <c r="S34" s="391"/>
      <c r="T34" s="388"/>
      <c r="U34" s="388"/>
      <c r="V34" s="388"/>
      <c r="W34" s="391"/>
      <c r="X34" s="388"/>
      <c r="Y34" s="389" t="s">
        <v>913</v>
      </c>
      <c r="Z34" s="388"/>
      <c r="AA34" s="391">
        <v>2</v>
      </c>
      <c r="AB34" s="388"/>
      <c r="AC34" s="391">
        <f>ROUND(AA34*O34,2)</f>
        <v>120</v>
      </c>
      <c r="AL34" s="369">
        <v>0.16</v>
      </c>
    </row>
    <row r="35" spans="1:38" s="368" customFormat="1">
      <c r="A35" s="382" t="s">
        <v>459</v>
      </c>
      <c r="B35" s="388"/>
      <c r="C35" s="388" t="str">
        <f>'[7]ORÇAMENTO PONTE APARECIDA'!B25</f>
        <v>Compactação manual</v>
      </c>
      <c r="D35" s="388"/>
      <c r="E35" s="389" t="s">
        <v>364</v>
      </c>
      <c r="F35" s="388"/>
      <c r="G35" s="391"/>
      <c r="H35" s="388"/>
      <c r="I35" s="391"/>
      <c r="J35" s="388"/>
      <c r="K35" s="388"/>
      <c r="L35" s="388"/>
      <c r="M35" s="388"/>
      <c r="N35" s="388"/>
      <c r="O35" s="391"/>
      <c r="P35" s="388"/>
      <c r="Q35" s="391">
        <f>AC32</f>
        <v>480</v>
      </c>
      <c r="R35" s="388"/>
      <c r="S35" s="391"/>
      <c r="T35" s="388"/>
      <c r="U35" s="388"/>
      <c r="V35" s="388"/>
      <c r="W35" s="391"/>
      <c r="X35" s="388"/>
      <c r="Y35" s="390"/>
      <c r="Z35" s="388"/>
      <c r="AA35" s="388"/>
      <c r="AB35" s="388"/>
      <c r="AC35" s="391">
        <f>Q35</f>
        <v>480</v>
      </c>
      <c r="AL35" s="394" t="str">
        <f>'[7]ORÇAMENTO PONTE APARECIDA'!K49</f>
        <v>1.289.469,35</v>
      </c>
    </row>
    <row r="36" spans="1:38">
      <c r="A36" s="377" t="s">
        <v>916</v>
      </c>
      <c r="B36" s="378"/>
      <c r="C36" s="379" t="str">
        <f>'[7]ORÇAMENTO PONTE APARECIDA'!B26</f>
        <v>INFRAESTRUTURA</v>
      </c>
      <c r="D36" s="379"/>
      <c r="E36" s="379"/>
      <c r="F36" s="379"/>
      <c r="G36" s="380"/>
      <c r="H36" s="380"/>
      <c r="I36" s="380"/>
      <c r="J36" s="380"/>
      <c r="K36" s="380"/>
      <c r="L36" s="380"/>
      <c r="M36" s="380"/>
      <c r="N36" s="380"/>
      <c r="O36" s="380"/>
      <c r="P36" s="380"/>
      <c r="Q36" s="380"/>
      <c r="R36" s="380"/>
      <c r="S36" s="367"/>
      <c r="T36" s="380"/>
      <c r="U36" s="367"/>
      <c r="V36" s="380"/>
      <c r="W36" s="367"/>
      <c r="X36" s="380"/>
      <c r="Y36" s="367"/>
      <c r="Z36" s="380"/>
      <c r="AA36" s="367"/>
      <c r="AB36" s="380"/>
      <c r="AC36" s="367"/>
      <c r="AL36" s="381">
        <f>'[7]ORÇAMENTO PONTE APARECIDA'!J49</f>
        <v>493241.72</v>
      </c>
    </row>
    <row r="37" spans="1:38" s="368" customFormat="1">
      <c r="A37" s="382" t="s">
        <v>43</v>
      </c>
      <c r="B37" s="388"/>
      <c r="C37" s="388" t="str">
        <f>'[7]ORÇAMENTO PONTE APARECIDA'!B27</f>
        <v>Confecção e instalação de estacas de madeira</v>
      </c>
      <c r="D37" s="388"/>
      <c r="E37" s="389" t="s">
        <v>28</v>
      </c>
      <c r="F37" s="388"/>
      <c r="G37" s="388"/>
      <c r="H37" s="388"/>
      <c r="I37" s="391">
        <f>'MEMÓRIA APOIO - PONE DE MADEIRA'!F22</f>
        <v>1128</v>
      </c>
      <c r="J37" s="388"/>
      <c r="K37" s="391"/>
      <c r="L37" s="388"/>
      <c r="M37" s="388"/>
      <c r="N37" s="388"/>
      <c r="O37" s="388"/>
      <c r="P37" s="388"/>
      <c r="Q37" s="391"/>
      <c r="R37" s="388"/>
      <c r="S37" s="388"/>
      <c r="T37" s="388"/>
      <c r="U37" s="388"/>
      <c r="V37" s="388"/>
      <c r="W37" s="388"/>
      <c r="X37" s="388"/>
      <c r="Y37" s="390"/>
      <c r="Z37" s="388"/>
      <c r="AA37" s="388"/>
      <c r="AB37" s="388"/>
      <c r="AC37" s="391">
        <f>I37</f>
        <v>1128</v>
      </c>
    </row>
    <row r="38" spans="1:38" s="387" customFormat="1">
      <c r="A38" s="382" t="s">
        <v>44</v>
      </c>
      <c r="B38" s="383"/>
      <c r="C38" s="384" t="str">
        <f>'[7]ORÇAMENTO PONTE APARECIDA'!B28</f>
        <v>Confecção e instalação de linhas d'água de madeira</v>
      </c>
      <c r="D38" s="383"/>
      <c r="E38" s="382" t="s">
        <v>28</v>
      </c>
      <c r="F38" s="383"/>
      <c r="G38" s="383"/>
      <c r="H38" s="383"/>
      <c r="I38" s="385">
        <f>'MEMÓRIA APOIO - PONE DE MADEIRA'!F23</f>
        <v>376</v>
      </c>
      <c r="J38" s="383"/>
      <c r="K38" s="385"/>
      <c r="L38" s="383"/>
      <c r="M38" s="383"/>
      <c r="N38" s="383"/>
      <c r="O38" s="385"/>
      <c r="P38" s="383"/>
      <c r="Q38" s="385"/>
      <c r="R38" s="383"/>
      <c r="S38" s="383"/>
      <c r="T38" s="383"/>
      <c r="U38" s="383"/>
      <c r="V38" s="383"/>
      <c r="W38" s="383"/>
      <c r="X38" s="383"/>
      <c r="Y38" s="386"/>
      <c r="Z38" s="383"/>
      <c r="AA38" s="383"/>
      <c r="AB38" s="383"/>
      <c r="AC38" s="385">
        <f>I38</f>
        <v>376</v>
      </c>
    </row>
    <row r="39" spans="1:38" s="368" customFormat="1">
      <c r="A39" s="377" t="s">
        <v>917</v>
      </c>
      <c r="B39" s="378"/>
      <c r="C39" s="379" t="str">
        <f>'[7]ORÇAMENTO PONTE APARECIDA'!B29</f>
        <v>MESOESTRUTURA</v>
      </c>
      <c r="D39" s="379"/>
      <c r="E39" s="379"/>
      <c r="F39" s="379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  <c r="S39" s="367"/>
      <c r="T39" s="380"/>
      <c r="U39" s="367"/>
      <c r="V39" s="380"/>
      <c r="W39" s="367"/>
      <c r="X39" s="380"/>
      <c r="Y39" s="367"/>
      <c r="Z39" s="380"/>
      <c r="AA39" s="367"/>
      <c r="AB39" s="380"/>
      <c r="AC39" s="367"/>
    </row>
    <row r="40" spans="1:38" s="368" customFormat="1">
      <c r="A40" s="382" t="s">
        <v>43</v>
      </c>
      <c r="B40" s="388"/>
      <c r="C40" s="388" t="str">
        <f>'[7]ORÇAMENTO PONTE APARECIDA'!B30</f>
        <v>Confecção e instalação dos pilares de madeira</v>
      </c>
      <c r="D40" s="388"/>
      <c r="E40" s="389" t="s">
        <v>28</v>
      </c>
      <c r="F40" s="388"/>
      <c r="G40" s="388"/>
      <c r="H40" s="388"/>
      <c r="I40" s="391">
        <f>'MEMÓRIA APOIO - PONE DE MADEIRA'!F28</f>
        <v>376</v>
      </c>
      <c r="J40" s="388"/>
      <c r="K40" s="391"/>
      <c r="L40" s="388"/>
      <c r="M40" s="388"/>
      <c r="N40" s="388"/>
      <c r="O40" s="388"/>
      <c r="P40" s="388"/>
      <c r="Q40" s="391"/>
      <c r="R40" s="388"/>
      <c r="S40" s="388"/>
      <c r="T40" s="388"/>
      <c r="U40" s="388"/>
      <c r="V40" s="388"/>
      <c r="W40" s="388"/>
      <c r="X40" s="388"/>
      <c r="Y40" s="390"/>
      <c r="Z40" s="388"/>
      <c r="AA40" s="388"/>
      <c r="AB40" s="388"/>
      <c r="AC40" s="391">
        <f>I40</f>
        <v>376</v>
      </c>
    </row>
    <row r="41" spans="1:38" s="398" customFormat="1" ht="28.8">
      <c r="A41" s="395" t="s">
        <v>44</v>
      </c>
      <c r="B41" s="384"/>
      <c r="C41" s="384" t="str">
        <f>'[7]ORÇAMENTO PONTE APARECIDA'!B31</f>
        <v>Confecção e instalação de contraventamentos de madeira</v>
      </c>
      <c r="D41" s="384"/>
      <c r="E41" s="395" t="s">
        <v>28</v>
      </c>
      <c r="F41" s="384"/>
      <c r="G41" s="384"/>
      <c r="H41" s="384"/>
      <c r="I41" s="396">
        <f>'MEMÓRIA APOIO - PONE DE MADEIRA'!F29</f>
        <v>420.3807797699605</v>
      </c>
      <c r="J41" s="384"/>
      <c r="K41" s="396"/>
      <c r="L41" s="384"/>
      <c r="M41" s="384"/>
      <c r="N41" s="384"/>
      <c r="O41" s="396"/>
      <c r="P41" s="384"/>
      <c r="Q41" s="396"/>
      <c r="R41" s="384"/>
      <c r="S41" s="384"/>
      <c r="T41" s="384"/>
      <c r="U41" s="384"/>
      <c r="V41" s="384"/>
      <c r="W41" s="384"/>
      <c r="X41" s="384"/>
      <c r="Y41" s="397"/>
      <c r="Z41" s="384"/>
      <c r="AA41" s="384"/>
      <c r="AB41" s="384"/>
      <c r="AC41" s="396">
        <f>I41</f>
        <v>420.3807797699605</v>
      </c>
    </row>
    <row r="42" spans="1:38" s="398" customFormat="1">
      <c r="A42" s="395" t="s">
        <v>566</v>
      </c>
      <c r="C42" s="384" t="str">
        <f>'[7]ORÇAMENTO PONTE APARECIDA'!B32</f>
        <v>Confecção e instalação de transversinas de madeira</v>
      </c>
      <c r="E42" s="395" t="s">
        <v>28</v>
      </c>
      <c r="F42" s="384"/>
      <c r="G42" s="384"/>
      <c r="H42" s="384"/>
      <c r="I42" s="396">
        <f>'MEMÓRIA APOIO - PONE DE MADEIRA'!F30</f>
        <v>196</v>
      </c>
      <c r="J42" s="384"/>
      <c r="K42" s="396"/>
      <c r="L42" s="384"/>
      <c r="M42" s="384"/>
      <c r="N42" s="384"/>
      <c r="O42" s="396"/>
      <c r="P42" s="384"/>
      <c r="Q42" s="396"/>
      <c r="R42" s="384"/>
      <c r="S42" s="384"/>
      <c r="T42" s="384"/>
      <c r="U42" s="384"/>
      <c r="V42" s="384"/>
      <c r="W42" s="384"/>
      <c r="X42" s="384"/>
      <c r="Y42" s="397"/>
      <c r="Z42" s="384"/>
      <c r="AA42" s="384"/>
      <c r="AB42" s="384"/>
      <c r="AC42" s="396">
        <f t="shared" ref="AC42:AC43" si="0">I42</f>
        <v>196</v>
      </c>
    </row>
    <row r="43" spans="1:38" s="368" customFormat="1">
      <c r="A43" s="382" t="s">
        <v>618</v>
      </c>
      <c r="C43" s="388" t="str">
        <f>'[7]ORÇAMENTO PONTE APARECIDA'!B33</f>
        <v>Confecção e instalação de balancim de madeira</v>
      </c>
      <c r="E43" s="389" t="s">
        <v>28</v>
      </c>
      <c r="F43" s="388"/>
      <c r="G43" s="388"/>
      <c r="H43" s="388"/>
      <c r="I43" s="391">
        <f>'MEMÓRIA APOIO - PONE DE MADEIRA'!F31</f>
        <v>376</v>
      </c>
      <c r="J43" s="388"/>
      <c r="K43" s="391"/>
      <c r="L43" s="388"/>
      <c r="M43" s="388"/>
      <c r="N43" s="388"/>
      <c r="O43" s="391"/>
      <c r="P43" s="388"/>
      <c r="Q43" s="391"/>
      <c r="R43" s="388"/>
      <c r="S43" s="388"/>
      <c r="T43" s="388"/>
      <c r="U43" s="388"/>
      <c r="V43" s="388"/>
      <c r="W43" s="388"/>
      <c r="X43" s="388"/>
      <c r="Y43" s="390"/>
      <c r="Z43" s="388"/>
      <c r="AA43" s="388"/>
      <c r="AB43" s="388"/>
      <c r="AC43" s="391">
        <f t="shared" si="0"/>
        <v>376</v>
      </c>
    </row>
    <row r="44" spans="1:38" s="368" customFormat="1">
      <c r="A44" s="377" t="s">
        <v>918</v>
      </c>
      <c r="B44" s="378"/>
      <c r="C44" s="379" t="str">
        <f>'[7]ORÇAMENTO PONTE APARECIDA'!B34</f>
        <v>SUPERESTRUTURA</v>
      </c>
      <c r="D44" s="379"/>
      <c r="E44" s="379"/>
      <c r="F44" s="379"/>
      <c r="G44" s="380"/>
      <c r="H44" s="380"/>
      <c r="I44" s="380"/>
      <c r="J44" s="380"/>
      <c r="K44" s="380"/>
      <c r="L44" s="380"/>
      <c r="M44" s="380"/>
      <c r="N44" s="380"/>
      <c r="O44" s="380"/>
      <c r="P44" s="380"/>
      <c r="Q44" s="380"/>
      <c r="R44" s="380"/>
      <c r="S44" s="367"/>
      <c r="T44" s="380"/>
      <c r="U44" s="367"/>
      <c r="V44" s="380"/>
      <c r="W44" s="367"/>
      <c r="X44" s="380"/>
      <c r="Y44" s="367"/>
      <c r="Z44" s="380"/>
      <c r="AA44" s="367"/>
      <c r="AB44" s="380"/>
      <c r="AC44" s="367"/>
    </row>
    <row r="45" spans="1:38" s="368" customFormat="1">
      <c r="A45" s="382" t="s">
        <v>45</v>
      </c>
      <c r="B45" s="388"/>
      <c r="C45" s="388" t="str">
        <f>'[7]ORÇAMENTO PONTE APARECIDA'!B35</f>
        <v>Confecção e instalação de longarinas de madeira</v>
      </c>
      <c r="D45" s="388"/>
      <c r="E45" s="389" t="s">
        <v>28</v>
      </c>
      <c r="F45" s="388"/>
      <c r="G45" s="388"/>
      <c r="H45" s="388"/>
      <c r="I45" s="391">
        <f>'MEMÓRIA APOIO - PONE DE MADEIRA'!F36</f>
        <v>480</v>
      </c>
      <c r="J45" s="388"/>
      <c r="K45" s="391"/>
      <c r="L45" s="388"/>
      <c r="M45" s="388"/>
      <c r="N45" s="388"/>
      <c r="O45" s="388"/>
      <c r="P45" s="388"/>
      <c r="Q45" s="391"/>
      <c r="R45" s="388"/>
      <c r="S45" s="388"/>
      <c r="T45" s="388"/>
      <c r="U45" s="388"/>
      <c r="V45" s="388"/>
      <c r="W45" s="388"/>
      <c r="X45" s="388"/>
      <c r="Y45" s="390"/>
      <c r="Z45" s="388"/>
      <c r="AA45" s="388"/>
      <c r="AB45" s="388"/>
      <c r="AC45" s="391">
        <f>I45</f>
        <v>480</v>
      </c>
    </row>
    <row r="46" spans="1:38" s="368" customFormat="1" ht="28.8">
      <c r="A46" s="382" t="s">
        <v>606</v>
      </c>
      <c r="B46" s="384"/>
      <c r="C46" s="384" t="str">
        <f>'[7]ORÇAMENTO PONTE APARECIDA'!B36</f>
        <v>Confecção e instalação de rodapé de madeira (GUARDA-CORPO)</v>
      </c>
      <c r="D46" s="384"/>
      <c r="E46" s="395" t="s">
        <v>28</v>
      </c>
      <c r="F46" s="384"/>
      <c r="G46" s="384"/>
      <c r="H46" s="384"/>
      <c r="I46" s="391">
        <f>'MEMÓRIA APOIO - PONE DE MADEIRA'!F37</f>
        <v>240</v>
      </c>
      <c r="J46" s="384"/>
      <c r="K46" s="396"/>
      <c r="L46" s="384"/>
      <c r="M46" s="384"/>
      <c r="N46" s="384"/>
      <c r="O46" s="396"/>
      <c r="P46" s="384"/>
      <c r="Q46" s="396"/>
      <c r="R46" s="384"/>
      <c r="S46" s="384"/>
      <c r="T46" s="384"/>
      <c r="U46" s="384"/>
      <c r="V46" s="384"/>
      <c r="W46" s="384"/>
      <c r="X46" s="384"/>
      <c r="Y46" s="397"/>
      <c r="Z46" s="384"/>
      <c r="AA46" s="384"/>
      <c r="AB46" s="384"/>
      <c r="AC46" s="396">
        <f>I46</f>
        <v>240</v>
      </c>
    </row>
    <row r="47" spans="1:38" s="368" customFormat="1" ht="28.8">
      <c r="A47" s="382" t="s">
        <v>674</v>
      </c>
      <c r="B47" s="398"/>
      <c r="C47" s="384" t="str">
        <f>'[7]ORÇAMENTO PONTE APARECIDA'!B37</f>
        <v>Confecção e instalação de corrimão de madeira (GUARDA-CORPO)</v>
      </c>
      <c r="D47" s="398"/>
      <c r="E47" s="395" t="s">
        <v>28</v>
      </c>
      <c r="F47" s="384"/>
      <c r="G47" s="384"/>
      <c r="H47" s="384"/>
      <c r="I47" s="391">
        <f>'MEMÓRIA APOIO - PONE DE MADEIRA'!F38</f>
        <v>480</v>
      </c>
      <c r="J47" s="384"/>
      <c r="K47" s="396"/>
      <c r="L47" s="384"/>
      <c r="M47" s="384"/>
      <c r="N47" s="384"/>
      <c r="O47" s="396"/>
      <c r="P47" s="384"/>
      <c r="Q47" s="396"/>
      <c r="R47" s="384"/>
      <c r="S47" s="384"/>
      <c r="T47" s="384"/>
      <c r="U47" s="384"/>
      <c r="V47" s="384"/>
      <c r="W47" s="384"/>
      <c r="X47" s="384"/>
      <c r="Y47" s="397"/>
      <c r="Z47" s="384"/>
      <c r="AA47" s="384"/>
      <c r="AB47" s="384"/>
      <c r="AC47" s="396">
        <f t="shared" ref="AC47:AC50" si="1">I47</f>
        <v>480</v>
      </c>
    </row>
    <row r="48" spans="1:38" s="368" customFormat="1" ht="28.8">
      <c r="A48" s="382" t="s">
        <v>680</v>
      </c>
      <c r="C48" s="399" t="str">
        <f>'[7]ORÇAMENTO PONTE APARECIDA'!B38</f>
        <v>Confecção e instalação de pontaletes menores de madeira (GUARDA-CORPO)</v>
      </c>
      <c r="E48" s="389" t="s">
        <v>28</v>
      </c>
      <c r="F48" s="388"/>
      <c r="G48" s="388"/>
      <c r="H48" s="388"/>
      <c r="I48" s="391">
        <f>'MEMÓRIA APOIO - PONE DE MADEIRA'!F39</f>
        <v>288</v>
      </c>
      <c r="J48" s="388"/>
      <c r="K48" s="391"/>
      <c r="L48" s="388"/>
      <c r="M48" s="388"/>
      <c r="N48" s="388"/>
      <c r="O48" s="391"/>
      <c r="P48" s="388"/>
      <c r="Q48" s="391"/>
      <c r="R48" s="388"/>
      <c r="S48" s="388"/>
      <c r="T48" s="388"/>
      <c r="U48" s="388"/>
      <c r="V48" s="388"/>
      <c r="W48" s="388"/>
      <c r="X48" s="388"/>
      <c r="Y48" s="390"/>
      <c r="Z48" s="388"/>
      <c r="AA48" s="388"/>
      <c r="AB48" s="388"/>
      <c r="AC48" s="391">
        <f t="shared" si="1"/>
        <v>288</v>
      </c>
    </row>
    <row r="49" spans="1:31" s="368" customFormat="1" ht="28.8">
      <c r="A49" s="382" t="s">
        <v>685</v>
      </c>
      <c r="C49" s="399" t="str">
        <f>'[7]ORÇAMENTO PONTE APARECIDA'!B39</f>
        <v>Confecção e instalação de pontaletes maiores de madeira (GUARDA-CORPO)</v>
      </c>
      <c r="E49" s="389" t="s">
        <v>28</v>
      </c>
      <c r="F49" s="388"/>
      <c r="G49" s="388"/>
      <c r="H49" s="388"/>
      <c r="I49" s="391">
        <f>'MEMÓRIA APOIO - PONE DE MADEIRA'!F40</f>
        <v>141</v>
      </c>
      <c r="J49" s="388"/>
      <c r="K49" s="391"/>
      <c r="L49" s="388"/>
      <c r="M49" s="388"/>
      <c r="N49" s="388"/>
      <c r="O49" s="391"/>
      <c r="P49" s="388"/>
      <c r="Q49" s="391"/>
      <c r="R49" s="388"/>
      <c r="S49" s="388"/>
      <c r="T49" s="388"/>
      <c r="U49" s="388"/>
      <c r="V49" s="388"/>
      <c r="W49" s="388"/>
      <c r="X49" s="388"/>
      <c r="Y49" s="390"/>
      <c r="Z49" s="388"/>
      <c r="AA49" s="388"/>
      <c r="AB49" s="388"/>
      <c r="AC49" s="391">
        <f t="shared" si="1"/>
        <v>141</v>
      </c>
    </row>
    <row r="50" spans="1:31" s="368" customFormat="1">
      <c r="A50" s="382" t="s">
        <v>919</v>
      </c>
      <c r="C50" s="388" t="str">
        <f>'[7]ORÇAMENTO PONTE APARECIDA'!B40</f>
        <v>Confecção e instalação de pranchão de madeira</v>
      </c>
      <c r="E50" s="389" t="s">
        <v>28</v>
      </c>
      <c r="F50" s="388"/>
      <c r="G50" s="388"/>
      <c r="H50" s="388"/>
      <c r="I50" s="391">
        <f>'MEMÓRIA APOIO - PONE DE MADEIRA'!F41</f>
        <v>1920</v>
      </c>
      <c r="J50" s="388"/>
      <c r="K50" s="391"/>
      <c r="L50" s="388"/>
      <c r="M50" s="388"/>
      <c r="N50" s="388"/>
      <c r="O50" s="391"/>
      <c r="P50" s="388"/>
      <c r="Q50" s="391"/>
      <c r="R50" s="388"/>
      <c r="S50" s="388"/>
      <c r="T50" s="388"/>
      <c r="U50" s="388"/>
      <c r="V50" s="388"/>
      <c r="W50" s="388"/>
      <c r="X50" s="388"/>
      <c r="Y50" s="390"/>
      <c r="Z50" s="388"/>
      <c r="AA50" s="388"/>
      <c r="AB50" s="388"/>
      <c r="AC50" s="391">
        <f t="shared" si="1"/>
        <v>1920</v>
      </c>
    </row>
    <row r="51" spans="1:31">
      <c r="A51" s="377" t="s">
        <v>920</v>
      </c>
      <c r="B51" s="378"/>
      <c r="C51" s="379" t="s">
        <v>921</v>
      </c>
      <c r="D51" s="379"/>
      <c r="E51" s="379"/>
      <c r="F51" s="379"/>
      <c r="G51" s="380"/>
      <c r="H51" s="380"/>
      <c r="I51" s="380"/>
      <c r="J51" s="380"/>
      <c r="K51" s="380"/>
      <c r="L51" s="380"/>
      <c r="M51" s="380"/>
      <c r="N51" s="380"/>
      <c r="O51" s="380"/>
      <c r="P51" s="380"/>
      <c r="Q51" s="380"/>
      <c r="R51" s="380"/>
      <c r="S51" s="367"/>
      <c r="T51" s="380"/>
      <c r="U51" s="367"/>
      <c r="V51" s="380"/>
      <c r="W51" s="367"/>
      <c r="X51" s="380"/>
      <c r="Y51" s="367"/>
      <c r="Z51" s="380"/>
      <c r="AA51" s="367"/>
      <c r="AB51" s="380"/>
      <c r="AC51" s="367"/>
    </row>
    <row r="52" spans="1:31" s="387" customFormat="1" ht="28.8">
      <c r="A52" s="382" t="s">
        <v>688</v>
      </c>
      <c r="B52" s="383"/>
      <c r="C52" s="384" t="s">
        <v>922</v>
      </c>
      <c r="D52" s="383"/>
      <c r="E52" s="382" t="s">
        <v>355</v>
      </c>
      <c r="F52" s="383"/>
      <c r="G52" s="383"/>
      <c r="H52" s="383"/>
      <c r="I52" s="385">
        <v>4</v>
      </c>
      <c r="J52" s="383"/>
      <c r="K52" s="385"/>
      <c r="L52" s="383"/>
      <c r="M52" s="385">
        <v>4</v>
      </c>
      <c r="N52" s="383"/>
      <c r="O52" s="383"/>
      <c r="P52" s="383"/>
      <c r="Q52" s="385"/>
      <c r="R52" s="383"/>
      <c r="S52" s="383"/>
      <c r="T52" s="383"/>
      <c r="U52" s="383"/>
      <c r="V52" s="383"/>
      <c r="W52" s="383"/>
      <c r="X52" s="383"/>
      <c r="Y52" s="386">
        <v>4</v>
      </c>
      <c r="Z52" s="383"/>
      <c r="AA52" s="382"/>
      <c r="AB52" s="383"/>
      <c r="AC52" s="385">
        <f>ROUND(I52*M52*Y52,2)</f>
        <v>64</v>
      </c>
      <c r="AE52" s="400"/>
    </row>
    <row r="53" spans="1:31" s="387" customFormat="1" ht="28.8">
      <c r="A53" s="382" t="s">
        <v>695</v>
      </c>
      <c r="B53" s="383"/>
      <c r="C53" s="384" t="s">
        <v>923</v>
      </c>
      <c r="D53" s="383"/>
      <c r="E53" s="382" t="s">
        <v>355</v>
      </c>
      <c r="F53" s="383"/>
      <c r="G53" s="383"/>
      <c r="H53" s="383"/>
      <c r="I53" s="385">
        <v>4</v>
      </c>
      <c r="J53" s="383"/>
      <c r="K53" s="385"/>
      <c r="L53" s="383"/>
      <c r="M53" s="385">
        <v>3.5</v>
      </c>
      <c r="N53" s="383"/>
      <c r="O53" s="383"/>
      <c r="P53" s="383"/>
      <c r="Q53" s="385"/>
      <c r="R53" s="383"/>
      <c r="S53" s="383"/>
      <c r="T53" s="383"/>
      <c r="U53" s="383"/>
      <c r="V53" s="383"/>
      <c r="W53" s="383"/>
      <c r="X53" s="383"/>
      <c r="Y53" s="386">
        <v>2</v>
      </c>
      <c r="Z53" s="383"/>
      <c r="AA53" s="386"/>
      <c r="AB53" s="383"/>
      <c r="AC53" s="385">
        <f>ROUND(I53*M53*Y53,2)</f>
        <v>28</v>
      </c>
    </row>
    <row r="58" spans="1:31">
      <c r="A58" s="551">
        <f>[7]CAPA!A38</f>
        <v>44946</v>
      </c>
      <c r="B58" s="551"/>
      <c r="C58" s="551"/>
      <c r="D58" s="551"/>
      <c r="E58" s="551"/>
      <c r="F58" s="551"/>
      <c r="G58" s="551"/>
      <c r="H58" s="551"/>
      <c r="I58" s="551"/>
      <c r="J58" s="551"/>
      <c r="K58" s="551"/>
      <c r="L58" s="551"/>
      <c r="M58" s="551"/>
      <c r="N58" s="551"/>
      <c r="O58" s="551"/>
      <c r="P58" s="551"/>
      <c r="Q58" s="551"/>
      <c r="R58" s="551"/>
      <c r="S58" s="551"/>
      <c r="T58" s="551"/>
      <c r="U58" s="551"/>
      <c r="V58" s="551"/>
      <c r="W58" s="551"/>
      <c r="X58" s="551"/>
      <c r="Y58" s="551"/>
      <c r="Z58" s="551"/>
      <c r="AA58" s="551"/>
      <c r="AB58" s="551"/>
      <c r="AC58" s="551"/>
    </row>
    <row r="59" spans="1:31">
      <c r="A59" s="551" t="s">
        <v>924</v>
      </c>
      <c r="B59" s="551"/>
      <c r="C59" s="551"/>
      <c r="D59" s="551"/>
      <c r="E59" s="551"/>
      <c r="F59" s="551"/>
      <c r="G59" s="551"/>
      <c r="H59" s="551"/>
      <c r="I59" s="551"/>
      <c r="J59" s="551"/>
      <c r="K59" s="551"/>
      <c r="L59" s="551"/>
      <c r="M59" s="551"/>
      <c r="N59" s="551"/>
      <c r="O59" s="551"/>
      <c r="P59" s="551"/>
      <c r="Q59" s="551"/>
      <c r="R59" s="551"/>
      <c r="S59" s="551"/>
      <c r="T59" s="551"/>
      <c r="U59" s="551"/>
      <c r="V59" s="551"/>
      <c r="W59" s="551"/>
      <c r="X59" s="551"/>
      <c r="Y59" s="551"/>
      <c r="Z59" s="551"/>
      <c r="AA59" s="551"/>
      <c r="AB59" s="551"/>
      <c r="AC59" s="551"/>
    </row>
    <row r="65" customFormat="1"/>
    <row r="66" customFormat="1"/>
    <row r="89" spans="1:29">
      <c r="A89" s="551">
        <f ca="1">TODAY()</f>
        <v>45041</v>
      </c>
      <c r="B89" s="551"/>
      <c r="C89" s="551"/>
      <c r="D89" s="551"/>
      <c r="E89" s="551"/>
      <c r="F89" s="551"/>
      <c r="G89" s="551"/>
      <c r="H89" s="551"/>
      <c r="I89" s="551"/>
      <c r="J89" s="551"/>
      <c r="K89" s="551"/>
      <c r="L89" s="551"/>
      <c r="M89" s="551"/>
      <c r="N89" s="551"/>
      <c r="O89" s="551"/>
      <c r="P89" s="551"/>
      <c r="Q89" s="551"/>
      <c r="R89" s="551"/>
      <c r="S89" s="551"/>
      <c r="T89" s="551"/>
      <c r="U89" s="551"/>
      <c r="V89" s="551"/>
      <c r="W89" s="551"/>
      <c r="X89" s="551"/>
      <c r="Y89" s="551"/>
      <c r="Z89" s="551"/>
      <c r="AA89" s="551"/>
      <c r="AB89" s="551"/>
      <c r="AC89" s="551"/>
    </row>
    <row r="90" spans="1:29">
      <c r="A90" s="551" t="s">
        <v>925</v>
      </c>
      <c r="B90" s="551"/>
      <c r="C90" s="551"/>
      <c r="D90" s="551"/>
      <c r="E90" s="551"/>
      <c r="F90" s="551"/>
      <c r="G90" s="551"/>
      <c r="H90" s="551"/>
      <c r="I90" s="551"/>
      <c r="J90" s="551"/>
      <c r="K90" s="551"/>
      <c r="L90" s="551"/>
      <c r="M90" s="551"/>
      <c r="N90" s="551"/>
      <c r="O90" s="551"/>
      <c r="P90" s="551"/>
      <c r="Q90" s="551"/>
      <c r="R90" s="551"/>
      <c r="S90" s="551"/>
      <c r="T90" s="551"/>
      <c r="U90" s="551"/>
      <c r="V90" s="551"/>
      <c r="W90" s="551"/>
      <c r="X90" s="551"/>
      <c r="Y90" s="551"/>
      <c r="Z90" s="551"/>
      <c r="AA90" s="551"/>
      <c r="AB90" s="551"/>
      <c r="AC90" s="551"/>
    </row>
    <row r="91" spans="1:29">
      <c r="A91" s="401"/>
      <c r="B91" s="401"/>
      <c r="C91" s="401"/>
      <c r="D91" s="401"/>
      <c r="E91" s="401"/>
      <c r="F91" s="401"/>
      <c r="G91" s="401"/>
      <c r="H91" s="401"/>
      <c r="I91" s="401"/>
      <c r="J91" s="401"/>
      <c r="K91" s="401"/>
      <c r="L91" s="401"/>
      <c r="M91" s="401"/>
      <c r="N91" s="401"/>
      <c r="O91" s="401"/>
      <c r="P91" s="401"/>
      <c r="Q91" s="401"/>
      <c r="R91" s="401"/>
      <c r="S91" s="401"/>
      <c r="T91" s="401"/>
      <c r="U91" s="401"/>
      <c r="V91" s="401"/>
      <c r="W91" s="401"/>
      <c r="X91" s="401"/>
      <c r="Y91" s="401"/>
      <c r="Z91" s="401"/>
      <c r="AA91" s="401"/>
      <c r="AB91" s="401"/>
      <c r="AC91" s="401"/>
    </row>
    <row r="92" spans="1:29">
      <c r="A92" s="401"/>
      <c r="B92" s="401"/>
      <c r="C92" s="401"/>
      <c r="D92" s="401"/>
      <c r="E92" s="401"/>
      <c r="F92" s="401"/>
      <c r="G92" s="401"/>
      <c r="H92" s="401"/>
      <c r="I92" s="401"/>
      <c r="J92" s="401"/>
      <c r="K92" s="401"/>
      <c r="L92" s="401"/>
      <c r="M92" s="401"/>
      <c r="N92" s="401"/>
      <c r="O92" s="401"/>
      <c r="P92" s="401"/>
      <c r="Q92" s="401"/>
      <c r="R92" s="401"/>
      <c r="S92" s="401"/>
      <c r="T92" s="401"/>
      <c r="U92" s="401"/>
      <c r="V92" s="401"/>
      <c r="W92" s="401"/>
      <c r="X92" s="401"/>
      <c r="Y92" s="401"/>
      <c r="Z92" s="401"/>
      <c r="AA92" s="401"/>
      <c r="AB92" s="401"/>
      <c r="AC92" s="401"/>
    </row>
  </sheetData>
  <mergeCells count="11">
    <mergeCell ref="G30:O30"/>
    <mergeCell ref="A58:AC58"/>
    <mergeCell ref="A59:AC59"/>
    <mergeCell ref="A89:AC89"/>
    <mergeCell ref="A90:AC90"/>
    <mergeCell ref="A1:AC6"/>
    <mergeCell ref="A12:AC12"/>
    <mergeCell ref="A21:A23"/>
    <mergeCell ref="C21:C23"/>
    <mergeCell ref="E21:E23"/>
    <mergeCell ref="G21:AC21"/>
  </mergeCells>
  <pageMargins left="0.51181102362204722" right="0.51181102362204722" top="0.78740157480314965" bottom="0.78740157480314965" header="0.31496062992125984" footer="0.31496062992125984"/>
  <pageSetup paperSize="9" scale="69" orientation="landscape" r:id="rId1"/>
  <rowBreaks count="2" manualBreakCount="2">
    <brk id="66" max="28" man="1"/>
    <brk id="77" max="28" man="1"/>
  </rowBreaks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70"/>
  <sheetViews>
    <sheetView showGridLines="0" view="pageBreakPreview" topLeftCell="B43" zoomScaleNormal="100" zoomScaleSheetLayoutView="100" workbookViewId="0">
      <selection activeCell="Q16" sqref="Q16"/>
    </sheetView>
  </sheetViews>
  <sheetFormatPr defaultRowHeight="14.4"/>
  <cols>
    <col min="1" max="1" width="0" hidden="1" customWidth="1"/>
    <col min="2" max="2" width="27.44140625" bestFit="1" customWidth="1"/>
    <col min="3" max="4" width="21.44140625" style="408" bestFit="1" customWidth="1"/>
    <col min="5" max="5" width="20.33203125" style="408" bestFit="1" customWidth="1"/>
    <col min="6" max="6" width="21.44140625" bestFit="1" customWidth="1"/>
    <col min="7" max="7" width="23.88671875" bestFit="1" customWidth="1"/>
    <col min="8" max="8" width="21.44140625" bestFit="1" customWidth="1"/>
    <col min="9" max="9" width="20.33203125" bestFit="1" customWidth="1"/>
    <col min="10" max="10" width="19.6640625" bestFit="1" customWidth="1"/>
  </cols>
  <sheetData>
    <row r="1" spans="1:11">
      <c r="A1" s="540"/>
      <c r="B1" s="540"/>
      <c r="C1" s="540"/>
      <c r="D1" s="540"/>
      <c r="E1" s="540"/>
      <c r="F1" s="540"/>
      <c r="G1" s="540"/>
      <c r="H1" s="402"/>
      <c r="I1" s="402"/>
      <c r="J1" s="537"/>
      <c r="K1" s="538"/>
    </row>
    <row r="2" spans="1:11">
      <c r="A2" s="540"/>
      <c r="B2" s="540"/>
      <c r="C2" s="540"/>
      <c r="D2" s="540"/>
      <c r="E2" s="540"/>
      <c r="F2" s="540"/>
      <c r="G2" s="540"/>
      <c r="J2" s="540"/>
      <c r="K2" s="541"/>
    </row>
    <row r="3" spans="1:11">
      <c r="A3" s="540"/>
      <c r="B3" s="540"/>
      <c r="C3" s="540"/>
      <c r="D3" s="540"/>
      <c r="E3" s="540"/>
      <c r="F3" s="540"/>
      <c r="G3" s="540"/>
      <c r="J3" s="540"/>
      <c r="K3" s="541"/>
    </row>
    <row r="4" spans="1:11">
      <c r="A4" s="540"/>
      <c r="B4" s="540"/>
      <c r="C4" s="540"/>
      <c r="D4" s="540"/>
      <c r="E4" s="540"/>
      <c r="F4" s="540"/>
      <c r="G4" s="540"/>
      <c r="J4" s="540"/>
      <c r="K4" s="541"/>
    </row>
    <row r="5" spans="1:11">
      <c r="A5" s="540"/>
      <c r="B5" s="540"/>
      <c r="C5" s="540"/>
      <c r="D5" s="540"/>
      <c r="E5" s="540"/>
      <c r="F5" s="540"/>
      <c r="G5" s="540"/>
      <c r="J5" s="540"/>
      <c r="K5" s="541"/>
    </row>
    <row r="6" spans="1:11">
      <c r="A6" s="540"/>
      <c r="B6" s="540"/>
      <c r="C6" s="540"/>
      <c r="D6" s="540"/>
      <c r="E6" s="540"/>
      <c r="F6" s="540"/>
      <c r="G6" s="540"/>
      <c r="H6" s="403"/>
      <c r="I6" s="403"/>
      <c r="J6" s="543"/>
      <c r="K6" s="544"/>
    </row>
    <row r="7" spans="1:11" ht="15.6">
      <c r="B7" s="365" t="s">
        <v>926</v>
      </c>
      <c r="C7" s="365"/>
      <c r="D7" s="365"/>
      <c r="E7" s="365"/>
      <c r="F7" s="365"/>
      <c r="G7" s="365"/>
      <c r="H7" s="365"/>
      <c r="I7" s="365"/>
      <c r="J7" s="365"/>
    </row>
    <row r="8" spans="1:11" ht="15.6">
      <c r="B8" s="365" t="s">
        <v>927</v>
      </c>
      <c r="C8" s="365"/>
      <c r="D8" s="365"/>
      <c r="E8" s="365"/>
      <c r="F8" s="404" t="s">
        <v>928</v>
      </c>
      <c r="G8" s="365"/>
      <c r="H8" s="365"/>
      <c r="I8" s="365"/>
    </row>
    <row r="9" spans="1:11" ht="15.6">
      <c r="B9" s="365" t="s">
        <v>929</v>
      </c>
      <c r="C9" s="365"/>
      <c r="D9" s="365"/>
      <c r="E9" s="365"/>
      <c r="F9" s="404" t="s">
        <v>930</v>
      </c>
      <c r="G9" s="365"/>
      <c r="H9" s="365"/>
      <c r="I9" s="365"/>
    </row>
    <row r="10" spans="1:11" ht="15.6">
      <c r="B10" s="365" t="s">
        <v>931</v>
      </c>
      <c r="C10" s="365"/>
      <c r="D10" s="365"/>
      <c r="E10" s="365"/>
      <c r="F10" s="365"/>
      <c r="G10" s="365"/>
      <c r="H10" s="365"/>
      <c r="I10" s="365"/>
      <c r="J10" s="365"/>
    </row>
    <row r="11" spans="1:11" ht="15.6">
      <c r="B11" s="365"/>
      <c r="C11" s="365"/>
      <c r="D11" s="365"/>
      <c r="E11" s="365"/>
      <c r="F11" s="365"/>
      <c r="G11" s="365"/>
      <c r="H11" s="365"/>
      <c r="I11" s="365"/>
      <c r="J11" s="365"/>
    </row>
    <row r="13" spans="1:11">
      <c r="C13" s="553" t="s">
        <v>932</v>
      </c>
      <c r="D13" s="553"/>
      <c r="E13" s="405">
        <v>120</v>
      </c>
    </row>
    <row r="14" spans="1:11">
      <c r="C14" s="553" t="s">
        <v>933</v>
      </c>
      <c r="D14" s="553"/>
      <c r="E14" s="405">
        <v>4</v>
      </c>
    </row>
    <row r="15" spans="1:11">
      <c r="C15" s="553" t="s">
        <v>934</v>
      </c>
      <c r="D15" s="553"/>
      <c r="E15" s="405">
        <v>2.5</v>
      </c>
      <c r="F15" s="406"/>
      <c r="G15" s="407"/>
      <c r="H15">
        <f>E13/1</f>
        <v>120</v>
      </c>
    </row>
    <row r="16" spans="1:11">
      <c r="F16" s="406"/>
      <c r="G16" s="407"/>
      <c r="H16" s="409">
        <v>1</v>
      </c>
    </row>
    <row r="17" spans="2:10" s="410" customFormat="1" ht="43.2">
      <c r="C17" s="411" t="s">
        <v>935</v>
      </c>
      <c r="D17" s="411" t="s">
        <v>936</v>
      </c>
      <c r="E17" s="412" t="s">
        <v>937</v>
      </c>
      <c r="G17" s="413"/>
    </row>
    <row r="18" spans="2:10">
      <c r="C18" s="414">
        <f>(D18+1)-E18</f>
        <v>47</v>
      </c>
      <c r="D18" s="414">
        <f>ROUNDDOWN(E13/E15,0)</f>
        <v>48</v>
      </c>
      <c r="E18" s="414">
        <v>2</v>
      </c>
    </row>
    <row r="20" spans="2:10">
      <c r="B20" s="552" t="s">
        <v>938</v>
      </c>
      <c r="C20" s="552"/>
      <c r="D20" s="552"/>
      <c r="E20" s="552"/>
    </row>
    <row r="21" spans="2:10">
      <c r="B21" s="415" t="s">
        <v>939</v>
      </c>
      <c r="C21" s="415" t="s">
        <v>64</v>
      </c>
      <c r="D21" s="415" t="s">
        <v>387</v>
      </c>
      <c r="E21" s="415" t="s">
        <v>940</v>
      </c>
      <c r="F21" s="415" t="s">
        <v>941</v>
      </c>
      <c r="G21" s="415" t="s">
        <v>942</v>
      </c>
      <c r="H21" s="416" t="s">
        <v>943</v>
      </c>
      <c r="I21" s="416"/>
    </row>
    <row r="22" spans="2:10">
      <c r="B22" s="417" t="s">
        <v>944</v>
      </c>
      <c r="C22" s="414">
        <f>4*C18</f>
        <v>188</v>
      </c>
      <c r="D22" s="414">
        <v>6</v>
      </c>
      <c r="E22" s="418" t="s">
        <v>945</v>
      </c>
      <c r="F22" s="419">
        <f>C22*D22</f>
        <v>1128</v>
      </c>
      <c r="G22" s="419">
        <f>F22*0.3*0.3</f>
        <v>101.52</v>
      </c>
      <c r="H22" s="420">
        <f>E13*30*5%</f>
        <v>180</v>
      </c>
      <c r="I22" s="416" t="s">
        <v>470</v>
      </c>
    </row>
    <row r="23" spans="2:10">
      <c r="B23" s="417" t="s">
        <v>946</v>
      </c>
      <c r="C23" s="414">
        <f>2*C18</f>
        <v>94</v>
      </c>
      <c r="D23" s="414">
        <f>E14</f>
        <v>4</v>
      </c>
      <c r="E23" s="418" t="s">
        <v>947</v>
      </c>
      <c r="F23" s="419">
        <f>C23*D23</f>
        <v>376</v>
      </c>
      <c r="G23" s="419">
        <f>F23*20*0.08</f>
        <v>601.6</v>
      </c>
      <c r="I23" s="421"/>
    </row>
    <row r="24" spans="2:10">
      <c r="B24" s="408"/>
      <c r="C24" s="422"/>
      <c r="D24" s="422"/>
      <c r="F24" s="423"/>
      <c r="G24" s="423">
        <f>SUM(G22:G23)</f>
        <v>703.12</v>
      </c>
    </row>
    <row r="25" spans="2:10">
      <c r="C25" s="422"/>
      <c r="D25" s="422"/>
    </row>
    <row r="26" spans="2:10">
      <c r="B26" s="552" t="s">
        <v>938</v>
      </c>
      <c r="C26" s="552"/>
      <c r="D26" s="552"/>
      <c r="E26" s="552"/>
      <c r="H26" s="416" t="s">
        <v>943</v>
      </c>
      <c r="I26" s="416"/>
    </row>
    <row r="27" spans="2:10">
      <c r="B27" s="415" t="s">
        <v>948</v>
      </c>
      <c r="C27" s="415" t="s">
        <v>64</v>
      </c>
      <c r="D27" s="415" t="s">
        <v>387</v>
      </c>
      <c r="E27" s="415" t="s">
        <v>940</v>
      </c>
      <c r="F27" s="415" t="s">
        <v>941</v>
      </c>
      <c r="G27" s="415" t="s">
        <v>942</v>
      </c>
      <c r="H27" s="420">
        <f>E13*30*40%</f>
        <v>1440</v>
      </c>
      <c r="I27" s="416" t="s">
        <v>470</v>
      </c>
    </row>
    <row r="28" spans="2:10">
      <c r="B28" s="417" t="s">
        <v>949</v>
      </c>
      <c r="C28" s="414">
        <f>C22</f>
        <v>188</v>
      </c>
      <c r="D28" s="419">
        <v>2</v>
      </c>
      <c r="E28" s="418" t="s">
        <v>945</v>
      </c>
      <c r="F28" s="419">
        <f>C28*D28</f>
        <v>376</v>
      </c>
      <c r="G28" s="419">
        <f>F28*0.3*0.3</f>
        <v>33.839999999999996</v>
      </c>
    </row>
    <row r="29" spans="2:10">
      <c r="B29" s="417" t="s">
        <v>950</v>
      </c>
      <c r="C29" s="414">
        <f>C23</f>
        <v>94</v>
      </c>
      <c r="D29" s="414">
        <f>I31</f>
        <v>4.4721359549995796</v>
      </c>
      <c r="E29" s="418" t="s">
        <v>947</v>
      </c>
      <c r="F29" s="419">
        <f t="shared" ref="F29:F31" si="0">C29*D29</f>
        <v>420.3807797699605</v>
      </c>
      <c r="G29" s="419">
        <f>F29*0.2*0.08</f>
        <v>6.7260924763193684</v>
      </c>
      <c r="J29">
        <f>((H32)^2)+((I35)^2)</f>
        <v>20</v>
      </c>
    </row>
    <row r="30" spans="2:10">
      <c r="B30" s="417" t="s">
        <v>951</v>
      </c>
      <c r="C30" s="414">
        <f>C18+E18</f>
        <v>49</v>
      </c>
      <c r="D30" s="414">
        <f>E14</f>
        <v>4</v>
      </c>
      <c r="E30" s="418" t="s">
        <v>945</v>
      </c>
      <c r="F30" s="419">
        <f t="shared" si="0"/>
        <v>196</v>
      </c>
      <c r="G30" s="419">
        <f>F30*0.3*0.3</f>
        <v>17.639999999999997</v>
      </c>
      <c r="H30" s="416"/>
    </row>
    <row r="31" spans="2:10">
      <c r="B31" s="417" t="s">
        <v>952</v>
      </c>
      <c r="C31" s="414">
        <f>4*C18</f>
        <v>188</v>
      </c>
      <c r="D31" s="414">
        <v>2</v>
      </c>
      <c r="E31" s="418" t="s">
        <v>945</v>
      </c>
      <c r="F31" s="419">
        <f t="shared" si="0"/>
        <v>376</v>
      </c>
      <c r="G31" s="419">
        <f>F31*0.3*0.3</f>
        <v>33.839999999999996</v>
      </c>
      <c r="H31" s="416"/>
      <c r="I31" s="424">
        <f>SQRT(J29)</f>
        <v>4.4721359549995796</v>
      </c>
    </row>
    <row r="32" spans="2:10">
      <c r="B32" s="408"/>
      <c r="C32" s="422"/>
      <c r="D32" s="422"/>
      <c r="F32" s="423"/>
      <c r="G32" s="423">
        <f>SUM(G28:G31)</f>
        <v>92.046092476319359</v>
      </c>
      <c r="H32" s="409">
        <f>D28</f>
        <v>2</v>
      </c>
      <c r="I32" s="421"/>
    </row>
    <row r="34" spans="1:9">
      <c r="B34" s="552" t="s">
        <v>953</v>
      </c>
      <c r="C34" s="552"/>
      <c r="D34" s="552"/>
      <c r="E34" s="552"/>
    </row>
    <row r="35" spans="1:9">
      <c r="B35" s="415" t="s">
        <v>49</v>
      </c>
      <c r="C35" s="415" t="s">
        <v>64</v>
      </c>
      <c r="D35" s="415" t="s">
        <v>387</v>
      </c>
      <c r="E35" s="415" t="s">
        <v>940</v>
      </c>
      <c r="F35" s="415" t="s">
        <v>941</v>
      </c>
      <c r="G35" s="415" t="s">
        <v>942</v>
      </c>
      <c r="I35" s="409">
        <f>E14</f>
        <v>4</v>
      </c>
    </row>
    <row r="36" spans="1:9">
      <c r="B36" s="417" t="s">
        <v>954</v>
      </c>
      <c r="C36" s="414">
        <v>4</v>
      </c>
      <c r="D36" s="414">
        <f>E13</f>
        <v>120</v>
      </c>
      <c r="E36" s="418" t="s">
        <v>945</v>
      </c>
      <c r="F36" s="419">
        <f>C36*D36</f>
        <v>480</v>
      </c>
      <c r="G36" s="419">
        <f>F36*0.3*0.3</f>
        <v>43.199999999999996</v>
      </c>
      <c r="H36" s="416"/>
      <c r="I36" s="381"/>
    </row>
    <row r="37" spans="1:9">
      <c r="A37" s="554" t="s">
        <v>955</v>
      </c>
      <c r="B37" s="417" t="s">
        <v>956</v>
      </c>
      <c r="C37" s="414">
        <v>2</v>
      </c>
      <c r="D37" s="414">
        <f>E13</f>
        <v>120</v>
      </c>
      <c r="E37" s="418" t="s">
        <v>945</v>
      </c>
      <c r="F37" s="419">
        <f t="shared" ref="F37:F42" si="1">C37*D37</f>
        <v>240</v>
      </c>
      <c r="G37" s="419">
        <f>F37*0.3*0.3</f>
        <v>21.599999999999998</v>
      </c>
      <c r="H37" s="416"/>
      <c r="I37" s="381"/>
    </row>
    <row r="38" spans="1:9" s="410" customFormat="1">
      <c r="A38" s="554"/>
      <c r="B38" s="425" t="s">
        <v>957</v>
      </c>
      <c r="C38" s="426">
        <f>2*2</f>
        <v>4</v>
      </c>
      <c r="D38" s="426">
        <f>E13</f>
        <v>120</v>
      </c>
      <c r="E38" s="427" t="s">
        <v>958</v>
      </c>
      <c r="F38" s="419">
        <f t="shared" si="1"/>
        <v>480</v>
      </c>
      <c r="G38" s="428">
        <f>F38*0.1*0.07</f>
        <v>3.3600000000000003</v>
      </c>
      <c r="H38" s="429"/>
      <c r="I38" s="430"/>
    </row>
    <row r="39" spans="1:9" s="410" customFormat="1" ht="28.8">
      <c r="A39" s="554"/>
      <c r="B39" s="425" t="s">
        <v>959</v>
      </c>
      <c r="C39" s="426">
        <f>E13*2</f>
        <v>240</v>
      </c>
      <c r="D39" s="426">
        <v>1.2</v>
      </c>
      <c r="E39" s="427" t="s">
        <v>960</v>
      </c>
      <c r="F39" s="419">
        <f t="shared" si="1"/>
        <v>288</v>
      </c>
      <c r="G39" s="428">
        <f>F39*0.1*0.1</f>
        <v>2.8800000000000003</v>
      </c>
      <c r="H39" s="416" t="s">
        <v>943</v>
      </c>
      <c r="I39" s="416"/>
    </row>
    <row r="40" spans="1:9" s="434" customFormat="1" ht="28.8">
      <c r="A40" s="554"/>
      <c r="B40" s="425" t="s">
        <v>961</v>
      </c>
      <c r="C40" s="431">
        <f>C18*2</f>
        <v>94</v>
      </c>
      <c r="D40" s="431">
        <v>1.5</v>
      </c>
      <c r="E40" s="432" t="s">
        <v>960</v>
      </c>
      <c r="F40" s="419">
        <f t="shared" si="1"/>
        <v>141</v>
      </c>
      <c r="G40" s="433">
        <f>F40*0.1*0.1</f>
        <v>1.4100000000000001</v>
      </c>
      <c r="H40" s="420">
        <f>E13*30*30%</f>
        <v>1080</v>
      </c>
      <c r="I40" s="416" t="s">
        <v>470</v>
      </c>
    </row>
    <row r="41" spans="1:9">
      <c r="B41" s="417" t="s">
        <v>962</v>
      </c>
      <c r="C41" s="414">
        <f>E13/(0.2+0.05)</f>
        <v>480</v>
      </c>
      <c r="D41" s="414">
        <f>E14</f>
        <v>4</v>
      </c>
      <c r="E41" s="418" t="s">
        <v>963</v>
      </c>
      <c r="F41" s="419">
        <f t="shared" si="1"/>
        <v>1920</v>
      </c>
      <c r="G41" s="419">
        <f>F41*0.2*0.06</f>
        <v>23.04</v>
      </c>
      <c r="H41" s="416"/>
      <c r="I41" s="381"/>
    </row>
    <row r="42" spans="1:9">
      <c r="B42" s="417" t="s">
        <v>964</v>
      </c>
      <c r="C42" s="414">
        <v>8</v>
      </c>
      <c r="D42" s="414">
        <f>E13</f>
        <v>120</v>
      </c>
      <c r="E42" s="418" t="s">
        <v>963</v>
      </c>
      <c r="F42" s="419">
        <f t="shared" si="1"/>
        <v>960</v>
      </c>
      <c r="G42" s="419">
        <f>F42*0.2*0.06</f>
        <v>11.52</v>
      </c>
      <c r="H42" s="416"/>
      <c r="I42" s="381"/>
    </row>
    <row r="43" spans="1:9">
      <c r="B43" s="408"/>
      <c r="C43" s="422"/>
      <c r="D43" s="422"/>
      <c r="F43" s="423"/>
      <c r="G43" s="423">
        <f>SUM(G36:G42)</f>
        <v>107.00999999999998</v>
      </c>
      <c r="I43" s="421"/>
    </row>
    <row r="45" spans="1:9">
      <c r="B45" s="552" t="s">
        <v>965</v>
      </c>
      <c r="C45" s="552"/>
      <c r="D45" s="552"/>
      <c r="E45" s="552"/>
      <c r="H45" t="s">
        <v>966</v>
      </c>
    </row>
    <row r="46" spans="1:9" s="435" customFormat="1">
      <c r="B46" s="436" t="s">
        <v>967</v>
      </c>
      <c r="C46" s="436" t="s">
        <v>64</v>
      </c>
      <c r="D46" s="437" t="s">
        <v>968</v>
      </c>
      <c r="E46" s="436" t="s">
        <v>969</v>
      </c>
      <c r="F46" s="436" t="s">
        <v>394</v>
      </c>
      <c r="G46" s="436" t="s">
        <v>942</v>
      </c>
    </row>
    <row r="47" spans="1:9" hidden="1">
      <c r="B47" s="417" t="s">
        <v>970</v>
      </c>
      <c r="C47" s="414">
        <v>8</v>
      </c>
      <c r="D47" s="414"/>
      <c r="E47" s="418" t="s">
        <v>971</v>
      </c>
      <c r="F47" s="419">
        <f>C47*D47*E18</f>
        <v>0</v>
      </c>
      <c r="G47" s="419">
        <f>F47*0.2*0.2</f>
        <v>0</v>
      </c>
    </row>
    <row r="48" spans="1:9">
      <c r="B48" s="417" t="s">
        <v>972</v>
      </c>
      <c r="C48" s="414">
        <f>C50</f>
        <v>4</v>
      </c>
      <c r="D48" s="414">
        <f>D50</f>
        <v>3</v>
      </c>
      <c r="E48" s="418">
        <f>E50+0.3</f>
        <v>0.8</v>
      </c>
      <c r="F48" s="419">
        <v>1</v>
      </c>
      <c r="G48" s="419">
        <f>C48*D48*F48*E48</f>
        <v>9.6000000000000014</v>
      </c>
    </row>
    <row r="49" spans="2:11">
      <c r="B49" s="417" t="s">
        <v>973</v>
      </c>
      <c r="C49" s="414">
        <f>C51</f>
        <v>2</v>
      </c>
      <c r="D49" s="414">
        <f>D51</f>
        <v>4</v>
      </c>
      <c r="E49" s="418">
        <f>E51+0.3</f>
        <v>0.8</v>
      </c>
      <c r="F49" s="419">
        <f>F48</f>
        <v>1</v>
      </c>
      <c r="G49" s="419">
        <f>C49*D49*F49*E49</f>
        <v>6.4</v>
      </c>
    </row>
    <row r="50" spans="2:11">
      <c r="B50" s="417" t="s">
        <v>974</v>
      </c>
      <c r="C50" s="414">
        <f>2*2</f>
        <v>4</v>
      </c>
      <c r="D50" s="414">
        <v>3</v>
      </c>
      <c r="E50" s="418">
        <v>0.5</v>
      </c>
      <c r="F50" s="419">
        <f>D28</f>
        <v>2</v>
      </c>
      <c r="G50" s="419">
        <f>C50*D50*F50*E50</f>
        <v>12</v>
      </c>
      <c r="H50">
        <f>2*D50*F50</f>
        <v>12</v>
      </c>
      <c r="I50">
        <f>H50*2*5</f>
        <v>120</v>
      </c>
      <c r="J50" t="s">
        <v>983</v>
      </c>
    </row>
    <row r="51" spans="2:11">
      <c r="B51" s="417" t="s">
        <v>975</v>
      </c>
      <c r="C51" s="414">
        <f>1*2</f>
        <v>2</v>
      </c>
      <c r="D51" s="414">
        <f>E14</f>
        <v>4</v>
      </c>
      <c r="E51" s="418">
        <v>0.5</v>
      </c>
      <c r="F51" s="419">
        <f>F50</f>
        <v>2</v>
      </c>
      <c r="G51" s="419">
        <f>C51*D51*F51*E51</f>
        <v>8</v>
      </c>
      <c r="H51">
        <f>D51*F51</f>
        <v>8</v>
      </c>
      <c r="I51">
        <f>H51*2*5</f>
        <v>80</v>
      </c>
      <c r="J51" t="s">
        <v>984</v>
      </c>
    </row>
    <row r="52" spans="2:11">
      <c r="F52" s="438" t="s">
        <v>976</v>
      </c>
      <c r="G52" s="423">
        <f>SUM(G47:G51)</f>
        <v>36</v>
      </c>
      <c r="H52" s="416"/>
      <c r="I52" s="439"/>
    </row>
    <row r="53" spans="2:11" ht="15.6">
      <c r="D53" s="555" t="s">
        <v>977</v>
      </c>
      <c r="E53" s="555"/>
      <c r="F53" s="440">
        <f>G43+G32+G24</f>
        <v>902.17609247631935</v>
      </c>
      <c r="G53" s="441" t="s">
        <v>218</v>
      </c>
    </row>
    <row r="54" spans="2:11" ht="15.6">
      <c r="I54" s="442"/>
      <c r="K54">
        <f>100-19.6</f>
        <v>80.400000000000006</v>
      </c>
    </row>
    <row r="55" spans="2:11">
      <c r="I55" s="381"/>
    </row>
    <row r="56" spans="2:11">
      <c r="B56" s="552" t="s">
        <v>978</v>
      </c>
      <c r="C56" s="552"/>
      <c r="D56" s="552"/>
      <c r="E56" s="552"/>
    </row>
    <row r="57" spans="2:11">
      <c r="B57" s="436" t="s">
        <v>967</v>
      </c>
      <c r="C57" s="436" t="s">
        <v>64</v>
      </c>
      <c r="D57" s="437" t="s">
        <v>968</v>
      </c>
      <c r="E57" s="436" t="s">
        <v>969</v>
      </c>
      <c r="F57" s="436" t="s">
        <v>394</v>
      </c>
      <c r="G57" s="436" t="s">
        <v>942</v>
      </c>
      <c r="I57" s="416"/>
    </row>
    <row r="58" spans="2:11" hidden="1">
      <c r="B58" s="417" t="s">
        <v>970</v>
      </c>
      <c r="C58" s="414">
        <v>8</v>
      </c>
      <c r="D58" s="414"/>
      <c r="E58" s="418" t="s">
        <v>971</v>
      </c>
      <c r="F58" s="419" t="e">
        <f>C58*D58*E27</f>
        <v>#VALUE!</v>
      </c>
      <c r="G58" s="419" t="e">
        <f>F58*0.2*0.2</f>
        <v>#VALUE!</v>
      </c>
    </row>
    <row r="59" spans="2:11">
      <c r="B59" s="417" t="s">
        <v>974</v>
      </c>
      <c r="C59" s="414">
        <f>2*2*H59</f>
        <v>20</v>
      </c>
      <c r="D59" s="414">
        <v>3</v>
      </c>
      <c r="E59" s="418">
        <f>E48+0.3</f>
        <v>1.1000000000000001</v>
      </c>
      <c r="F59" s="419">
        <f>0.5+1</f>
        <v>1.5</v>
      </c>
      <c r="G59" s="419">
        <f>C59*D59*F59*E59</f>
        <v>99.000000000000014</v>
      </c>
      <c r="H59">
        <v>5</v>
      </c>
      <c r="I59" t="s">
        <v>982</v>
      </c>
    </row>
    <row r="60" spans="2:11">
      <c r="B60" s="417" t="s">
        <v>975</v>
      </c>
      <c r="C60" s="414">
        <f>1*2*H59</f>
        <v>10</v>
      </c>
      <c r="D60" s="414">
        <f>D51</f>
        <v>4</v>
      </c>
      <c r="E60" s="418">
        <f>E49+0.3</f>
        <v>1.1000000000000001</v>
      </c>
      <c r="F60" s="419">
        <f>F59</f>
        <v>1.5</v>
      </c>
      <c r="G60" s="419">
        <f>C60*D60*F60*E60</f>
        <v>66</v>
      </c>
    </row>
    <row r="61" spans="2:11">
      <c r="G61" s="423">
        <f>SUM(G59:G60)</f>
        <v>165</v>
      </c>
      <c r="H61">
        <v>101139</v>
      </c>
    </row>
    <row r="62" spans="2:11">
      <c r="F62" s="443" t="s">
        <v>979</v>
      </c>
      <c r="G62" s="444">
        <f>G61*1.25</f>
        <v>206.25</v>
      </c>
    </row>
    <row r="65" spans="2:9">
      <c r="B65" s="552" t="s">
        <v>555</v>
      </c>
      <c r="C65" s="552"/>
      <c r="D65" s="552"/>
      <c r="E65" s="552"/>
    </row>
    <row r="66" spans="2:9">
      <c r="B66" s="436" t="s">
        <v>967</v>
      </c>
      <c r="C66" s="436" t="s">
        <v>64</v>
      </c>
      <c r="D66" s="437" t="s">
        <v>968</v>
      </c>
      <c r="E66" s="436" t="s">
        <v>969</v>
      </c>
      <c r="F66" s="436" t="s">
        <v>980</v>
      </c>
      <c r="G66" s="436" t="s">
        <v>981</v>
      </c>
      <c r="H66">
        <v>96619</v>
      </c>
    </row>
    <row r="67" spans="2:9" hidden="1">
      <c r="B67" s="417" t="s">
        <v>970</v>
      </c>
      <c r="C67" s="414">
        <v>8</v>
      </c>
      <c r="D67" s="414"/>
      <c r="E67" s="418" t="s">
        <v>971</v>
      </c>
      <c r="F67" s="419" t="e">
        <f>C67*D67*E36</f>
        <v>#VALUE!</v>
      </c>
      <c r="G67" s="419" t="e">
        <f>F67*0.2*0.2</f>
        <v>#VALUE!</v>
      </c>
    </row>
    <row r="68" spans="2:9">
      <c r="B68" s="417" t="s">
        <v>974</v>
      </c>
      <c r="C68" s="414">
        <f>2*2</f>
        <v>4</v>
      </c>
      <c r="D68" s="414">
        <v>3</v>
      </c>
      <c r="E68" s="418">
        <f>E59</f>
        <v>1.1000000000000001</v>
      </c>
      <c r="F68" s="419">
        <f>D68*C68</f>
        <v>12</v>
      </c>
      <c r="G68" s="419">
        <f>F68*E68</f>
        <v>13.200000000000001</v>
      </c>
      <c r="I68" s="416">
        <v>603837.36</v>
      </c>
    </row>
    <row r="69" spans="2:9">
      <c r="B69" s="417" t="s">
        <v>975</v>
      </c>
      <c r="C69" s="414">
        <f>1*2</f>
        <v>2</v>
      </c>
      <c r="D69" s="414">
        <f>D60</f>
        <v>4</v>
      </c>
      <c r="E69" s="418">
        <f>E60</f>
        <v>1.1000000000000001</v>
      </c>
      <c r="F69" s="419">
        <f>D69*C69</f>
        <v>8</v>
      </c>
      <c r="G69" s="419">
        <f>F69*E69</f>
        <v>8.8000000000000007</v>
      </c>
      <c r="I69" s="416">
        <f>I68/(8+12)</f>
        <v>30191.867999999999</v>
      </c>
    </row>
    <row r="70" spans="2:9">
      <c r="G70" s="423">
        <f>SUM(G68:G69)</f>
        <v>22</v>
      </c>
      <c r="I70" s="381">
        <f>I69*105</f>
        <v>3170146.1399999997</v>
      </c>
    </row>
  </sheetData>
  <mergeCells count="13">
    <mergeCell ref="B65:E65"/>
    <mergeCell ref="B26:E26"/>
    <mergeCell ref="B34:E34"/>
    <mergeCell ref="A37:A40"/>
    <mergeCell ref="B45:E45"/>
    <mergeCell ref="D53:E53"/>
    <mergeCell ref="B56:E56"/>
    <mergeCell ref="B20:E20"/>
    <mergeCell ref="A1:G6"/>
    <mergeCell ref="J1:K6"/>
    <mergeCell ref="C13:D13"/>
    <mergeCell ref="C14:D14"/>
    <mergeCell ref="C15:D15"/>
  </mergeCells>
  <pageMargins left="0.43307086614173229" right="0.23622047244094491" top="0.74803149606299213" bottom="0.74803149606299213" header="0.31496062992125984" footer="0.31496062992125984"/>
  <pageSetup paperSize="9" scale="70" orientation="portrait" r:id="rId1"/>
  <colBreaks count="1" manualBreakCount="1">
    <brk id="7" max="1048575" man="1"/>
  </colBreaks>
  <ignoredErrors>
    <ignoredError sqref="G29" formula="1"/>
  </ignoredErrors>
  <drawing r:id="rId2"/>
  <legacyDrawing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K278"/>
  <sheetViews>
    <sheetView showGridLines="0" showOutlineSymbols="0" showWhiteSpace="0" view="pageBreakPreview" zoomScale="70" zoomScaleNormal="100" zoomScaleSheetLayoutView="70" workbookViewId="0">
      <selection activeCell="A3" sqref="A3:H3"/>
    </sheetView>
  </sheetViews>
  <sheetFormatPr defaultColWidth="8.88671875" defaultRowHeight="13.8"/>
  <cols>
    <col min="1" max="1" width="12.33203125" style="110" customWidth="1"/>
    <col min="2" max="2" width="13.33203125" style="110" bestFit="1" customWidth="1"/>
    <col min="3" max="3" width="11.109375" style="110" bestFit="1" customWidth="1"/>
    <col min="4" max="4" width="66.6640625" style="110" bestFit="1" customWidth="1"/>
    <col min="5" max="6" width="13.33203125" style="110" bestFit="1" customWidth="1"/>
    <col min="7" max="7" width="16.109375" style="110" bestFit="1" customWidth="1"/>
    <col min="8" max="8" width="15.5546875" style="110" bestFit="1" customWidth="1"/>
    <col min="9" max="9" width="14" style="110" customWidth="1"/>
    <col min="10" max="10" width="14.88671875" style="110" customWidth="1"/>
    <col min="11" max="11" width="14.6640625" style="110" bestFit="1" customWidth="1"/>
    <col min="12" max="16384" width="8.88671875" style="110"/>
  </cols>
  <sheetData>
    <row r="1" spans="1:10" ht="27.6">
      <c r="A1" s="262"/>
      <c r="B1" s="262"/>
      <c r="C1" s="259" t="s">
        <v>573</v>
      </c>
      <c r="D1" s="317"/>
      <c r="E1" s="561" t="s">
        <v>571</v>
      </c>
      <c r="F1" s="561"/>
      <c r="G1" s="318" t="s">
        <v>570</v>
      </c>
      <c r="H1" s="259" t="s">
        <v>572</v>
      </c>
    </row>
    <row r="2" spans="1:10" ht="79.95" customHeight="1">
      <c r="A2" s="263"/>
      <c r="B2" s="263"/>
      <c r="C2" s="478" t="s">
        <v>1102</v>
      </c>
      <c r="D2" s="478"/>
      <c r="E2" s="491" t="s">
        <v>426</v>
      </c>
      <c r="F2" s="491"/>
      <c r="G2" s="301">
        <v>0.24229999999999999</v>
      </c>
      <c r="H2" s="211" t="s">
        <v>569</v>
      </c>
    </row>
    <row r="3" spans="1:10" ht="31.95" customHeight="1">
      <c r="A3" s="559" t="s">
        <v>508</v>
      </c>
      <c r="B3" s="560"/>
      <c r="C3" s="560"/>
      <c r="D3" s="560"/>
      <c r="E3" s="560"/>
      <c r="F3" s="560"/>
      <c r="G3" s="560"/>
      <c r="H3" s="560"/>
    </row>
    <row r="4" spans="1:10" ht="27.6">
      <c r="A4" s="276" t="s">
        <v>350</v>
      </c>
      <c r="B4" s="277" t="s">
        <v>59</v>
      </c>
      <c r="C4" s="276" t="s">
        <v>58</v>
      </c>
      <c r="D4" s="276" t="s">
        <v>74</v>
      </c>
      <c r="E4" s="278" t="s">
        <v>69</v>
      </c>
      <c r="F4" s="277" t="s">
        <v>70</v>
      </c>
      <c r="G4" s="277" t="s">
        <v>67</v>
      </c>
      <c r="H4" s="277" t="s">
        <v>509</v>
      </c>
    </row>
    <row r="5" spans="1:10" s="287" customFormat="1" ht="24" customHeight="1">
      <c r="A5" s="283" t="s">
        <v>461</v>
      </c>
      <c r="B5" s="284" t="s">
        <v>351</v>
      </c>
      <c r="C5" s="283" t="s">
        <v>76</v>
      </c>
      <c r="D5" s="283" t="s">
        <v>62</v>
      </c>
      <c r="E5" s="285" t="s">
        <v>392</v>
      </c>
      <c r="F5" s="286"/>
      <c r="G5" s="292"/>
      <c r="H5" s="292">
        <v>31154.199999999997</v>
      </c>
      <c r="I5" s="110"/>
      <c r="J5" s="110"/>
    </row>
    <row r="6" spans="1:10" ht="26.4">
      <c r="A6" s="279" t="s">
        <v>462</v>
      </c>
      <c r="B6" s="280">
        <v>90777</v>
      </c>
      <c r="C6" s="279" t="s">
        <v>23</v>
      </c>
      <c r="D6" s="279" t="s">
        <v>463</v>
      </c>
      <c r="E6" s="281" t="s">
        <v>60</v>
      </c>
      <c r="F6" s="282">
        <v>110</v>
      </c>
      <c r="G6" s="293">
        <v>103.9</v>
      </c>
      <c r="H6" s="293">
        <v>11429</v>
      </c>
    </row>
    <row r="7" spans="1:10" ht="26.4">
      <c r="A7" s="279" t="s">
        <v>462</v>
      </c>
      <c r="B7" s="280">
        <v>88255</v>
      </c>
      <c r="C7" s="279" t="s">
        <v>23</v>
      </c>
      <c r="D7" s="279" t="s">
        <v>824</v>
      </c>
      <c r="E7" s="281" t="s">
        <v>60</v>
      </c>
      <c r="F7" s="282">
        <v>220</v>
      </c>
      <c r="G7" s="293">
        <v>24.68</v>
      </c>
      <c r="H7" s="293">
        <v>5429.6</v>
      </c>
    </row>
    <row r="8" spans="1:10" ht="26.4">
      <c r="A8" s="279" t="s">
        <v>462</v>
      </c>
      <c r="B8" s="280">
        <v>90776</v>
      </c>
      <c r="C8" s="279" t="s">
        <v>23</v>
      </c>
      <c r="D8" s="279" t="s">
        <v>464</v>
      </c>
      <c r="E8" s="281" t="s">
        <v>60</v>
      </c>
      <c r="F8" s="282">
        <v>440</v>
      </c>
      <c r="G8" s="293">
        <v>32.49</v>
      </c>
      <c r="H8" s="293">
        <v>14295.6</v>
      </c>
    </row>
    <row r="9" spans="1:10">
      <c r="A9" s="274"/>
      <c r="B9" s="274"/>
      <c r="C9" s="274"/>
      <c r="D9" s="274"/>
      <c r="E9" s="274"/>
      <c r="F9" s="275"/>
      <c r="G9" s="274"/>
      <c r="H9" s="275"/>
    </row>
    <row r="10" spans="1:10" ht="27.6">
      <c r="A10" s="276" t="s">
        <v>356</v>
      </c>
      <c r="B10" s="277" t="s">
        <v>59</v>
      </c>
      <c r="C10" s="276" t="s">
        <v>58</v>
      </c>
      <c r="D10" s="276" t="s">
        <v>74</v>
      </c>
      <c r="E10" s="278" t="s">
        <v>69</v>
      </c>
      <c r="F10" s="277" t="s">
        <v>70</v>
      </c>
      <c r="G10" s="277" t="s">
        <v>67</v>
      </c>
      <c r="H10" s="277" t="s">
        <v>509</v>
      </c>
    </row>
    <row r="11" spans="1:10" s="287" customFormat="1" ht="24" customHeight="1">
      <c r="A11" s="283" t="s">
        <v>461</v>
      </c>
      <c r="B11" s="284">
        <v>74209</v>
      </c>
      <c r="C11" s="283" t="s">
        <v>76</v>
      </c>
      <c r="D11" s="283" t="s">
        <v>357</v>
      </c>
      <c r="E11" s="285" t="s">
        <v>355</v>
      </c>
      <c r="F11" s="286"/>
      <c r="G11" s="292"/>
      <c r="H11" s="292">
        <v>421.99</v>
      </c>
      <c r="I11" s="110"/>
      <c r="J11" s="110"/>
    </row>
    <row r="12" spans="1:10" ht="26.4">
      <c r="A12" s="279" t="s">
        <v>462</v>
      </c>
      <c r="B12" s="280">
        <v>88262</v>
      </c>
      <c r="C12" s="279" t="s">
        <v>23</v>
      </c>
      <c r="D12" s="279" t="s">
        <v>466</v>
      </c>
      <c r="E12" s="281" t="s">
        <v>60</v>
      </c>
      <c r="F12" s="282">
        <v>1</v>
      </c>
      <c r="G12" s="293">
        <v>23.54</v>
      </c>
      <c r="H12" s="293">
        <v>23.54</v>
      </c>
    </row>
    <row r="13" spans="1:10" ht="39" customHeight="1">
      <c r="A13" s="279" t="s">
        <v>462</v>
      </c>
      <c r="B13" s="280">
        <v>94962</v>
      </c>
      <c r="C13" s="279" t="s">
        <v>23</v>
      </c>
      <c r="D13" s="279" t="s">
        <v>467</v>
      </c>
      <c r="E13" s="281" t="s">
        <v>364</v>
      </c>
      <c r="F13" s="282">
        <v>0.01</v>
      </c>
      <c r="G13" s="293">
        <v>357.79</v>
      </c>
      <c r="H13" s="293">
        <v>3.58</v>
      </c>
    </row>
    <row r="14" spans="1:10" ht="24" customHeight="1">
      <c r="A14" s="279" t="s">
        <v>462</v>
      </c>
      <c r="B14" s="280">
        <v>88316</v>
      </c>
      <c r="C14" s="279" t="s">
        <v>23</v>
      </c>
      <c r="D14" s="279" t="s">
        <v>61</v>
      </c>
      <c r="E14" s="281" t="s">
        <v>60</v>
      </c>
      <c r="F14" s="282">
        <v>2</v>
      </c>
      <c r="G14" s="293">
        <v>18.72</v>
      </c>
      <c r="H14" s="293">
        <v>37.44</v>
      </c>
    </row>
    <row r="15" spans="1:10" ht="29.4" customHeight="1">
      <c r="A15" s="279" t="s">
        <v>465</v>
      </c>
      <c r="B15" s="280">
        <v>4813</v>
      </c>
      <c r="C15" s="279" t="s">
        <v>23</v>
      </c>
      <c r="D15" s="279" t="s">
        <v>468</v>
      </c>
      <c r="E15" s="281" t="s">
        <v>355</v>
      </c>
      <c r="F15" s="282">
        <v>1</v>
      </c>
      <c r="G15" s="293">
        <v>300</v>
      </c>
      <c r="H15" s="293">
        <v>300</v>
      </c>
    </row>
    <row r="16" spans="1:10" ht="25.95" customHeight="1">
      <c r="A16" s="279" t="s">
        <v>465</v>
      </c>
      <c r="B16" s="280">
        <v>4491</v>
      </c>
      <c r="C16" s="279" t="s">
        <v>23</v>
      </c>
      <c r="D16" s="279" t="s">
        <v>469</v>
      </c>
      <c r="E16" s="281" t="s">
        <v>333</v>
      </c>
      <c r="F16" s="282">
        <v>4</v>
      </c>
      <c r="G16" s="293">
        <v>11.76</v>
      </c>
      <c r="H16" s="293">
        <v>47.04</v>
      </c>
    </row>
    <row r="17" spans="1:10" ht="25.95" customHeight="1">
      <c r="A17" s="279" t="s">
        <v>465</v>
      </c>
      <c r="B17" s="280">
        <v>5075</v>
      </c>
      <c r="C17" s="279" t="s">
        <v>23</v>
      </c>
      <c r="D17" s="279" t="s">
        <v>334</v>
      </c>
      <c r="E17" s="281" t="s">
        <v>470</v>
      </c>
      <c r="F17" s="282">
        <v>0.11</v>
      </c>
      <c r="G17" s="293">
        <v>21.31</v>
      </c>
      <c r="H17" s="293">
        <v>2.34</v>
      </c>
    </row>
    <row r="18" spans="1:10" ht="25.95" customHeight="1">
      <c r="A18" s="279" t="s">
        <v>465</v>
      </c>
      <c r="B18" s="280">
        <v>4417</v>
      </c>
      <c r="C18" s="279" t="s">
        <v>23</v>
      </c>
      <c r="D18" s="279" t="s">
        <v>471</v>
      </c>
      <c r="E18" s="281" t="s">
        <v>333</v>
      </c>
      <c r="F18" s="282">
        <v>1</v>
      </c>
      <c r="G18" s="293">
        <v>8.0500000000000007</v>
      </c>
      <c r="H18" s="293">
        <v>8.0500000000000007</v>
      </c>
    </row>
    <row r="19" spans="1:10">
      <c r="A19" s="274"/>
      <c r="B19" s="274"/>
      <c r="C19" s="274"/>
      <c r="D19" s="274"/>
      <c r="E19" s="274"/>
      <c r="F19" s="275"/>
      <c r="G19" s="274"/>
      <c r="H19" s="275"/>
    </row>
    <row r="20" spans="1:10" ht="27.6">
      <c r="A20" s="276" t="s">
        <v>358</v>
      </c>
      <c r="B20" s="277" t="s">
        <v>59</v>
      </c>
      <c r="C20" s="276" t="s">
        <v>58</v>
      </c>
      <c r="D20" s="276" t="s">
        <v>74</v>
      </c>
      <c r="E20" s="278" t="s">
        <v>69</v>
      </c>
      <c r="F20" s="277" t="s">
        <v>70</v>
      </c>
      <c r="G20" s="277" t="s">
        <v>67</v>
      </c>
      <c r="H20" s="277" t="s">
        <v>509</v>
      </c>
    </row>
    <row r="21" spans="1:10" s="287" customFormat="1" ht="24" customHeight="1">
      <c r="A21" s="283" t="s">
        <v>461</v>
      </c>
      <c r="B21" s="284" t="s">
        <v>431</v>
      </c>
      <c r="C21" s="283" t="s">
        <v>76</v>
      </c>
      <c r="D21" s="283" t="s">
        <v>432</v>
      </c>
      <c r="E21" s="285" t="s">
        <v>72</v>
      </c>
      <c r="F21" s="286"/>
      <c r="G21" s="292"/>
      <c r="H21" s="292">
        <v>60134.39</v>
      </c>
      <c r="I21" s="110"/>
      <c r="J21" s="110"/>
    </row>
    <row r="22" spans="1:10" ht="64.95" customHeight="1">
      <c r="A22" s="279" t="s">
        <v>462</v>
      </c>
      <c r="B22" s="280" t="s">
        <v>472</v>
      </c>
      <c r="C22" s="279" t="s">
        <v>23</v>
      </c>
      <c r="D22" s="279" t="s">
        <v>473</v>
      </c>
      <c r="E22" s="281" t="s">
        <v>474</v>
      </c>
      <c r="F22" s="282">
        <v>40</v>
      </c>
      <c r="G22" s="293">
        <v>264.22000000000003</v>
      </c>
      <c r="H22" s="293">
        <v>10568.8</v>
      </c>
    </row>
    <row r="23" spans="1:10" ht="25.95" customHeight="1">
      <c r="A23" s="279" t="s">
        <v>465</v>
      </c>
      <c r="B23" s="280" t="s">
        <v>475</v>
      </c>
      <c r="C23" s="279" t="s">
        <v>15</v>
      </c>
      <c r="D23" s="279" t="s">
        <v>305</v>
      </c>
      <c r="E23" s="281" t="s">
        <v>367</v>
      </c>
      <c r="F23" s="282">
        <v>40</v>
      </c>
      <c r="G23" s="293">
        <v>406.76119999999997</v>
      </c>
      <c r="H23" s="293">
        <v>16270.45</v>
      </c>
    </row>
    <row r="24" spans="1:10" ht="25.95" customHeight="1">
      <c r="A24" s="279" t="s">
        <v>465</v>
      </c>
      <c r="B24" s="280" t="s">
        <v>475</v>
      </c>
      <c r="C24" s="279" t="s">
        <v>15</v>
      </c>
      <c r="D24" s="279" t="s">
        <v>305</v>
      </c>
      <c r="E24" s="281" t="s">
        <v>367</v>
      </c>
      <c r="F24" s="282">
        <v>20</v>
      </c>
      <c r="G24" s="293">
        <v>406.76119999999997</v>
      </c>
      <c r="H24" s="293">
        <v>8135.22</v>
      </c>
    </row>
    <row r="25" spans="1:10" ht="25.95" customHeight="1">
      <c r="A25" s="279" t="s">
        <v>465</v>
      </c>
      <c r="B25" s="280" t="s">
        <v>551</v>
      </c>
      <c r="C25" s="279" t="s">
        <v>15</v>
      </c>
      <c r="D25" s="279" t="s">
        <v>553</v>
      </c>
      <c r="E25" s="281" t="s">
        <v>367</v>
      </c>
      <c r="F25" s="282">
        <v>40</v>
      </c>
      <c r="G25" s="293">
        <v>328.31</v>
      </c>
      <c r="H25" s="293">
        <v>13132.4</v>
      </c>
    </row>
    <row r="26" spans="1:10" ht="25.95" customHeight="1">
      <c r="A26" s="279" t="s">
        <v>465</v>
      </c>
      <c r="B26" s="280" t="s">
        <v>476</v>
      </c>
      <c r="C26" s="279" t="s">
        <v>15</v>
      </c>
      <c r="D26" s="279" t="s">
        <v>477</v>
      </c>
      <c r="E26" s="281" t="s">
        <v>367</v>
      </c>
      <c r="F26" s="282">
        <v>40</v>
      </c>
      <c r="G26" s="293">
        <v>300.68790000000001</v>
      </c>
      <c r="H26" s="293">
        <v>12027.52</v>
      </c>
    </row>
    <row r="27" spans="1:10">
      <c r="A27" s="274"/>
      <c r="B27" s="274"/>
      <c r="C27" s="274"/>
      <c r="D27" s="274"/>
      <c r="E27" s="274"/>
      <c r="F27" s="275"/>
      <c r="G27" s="274"/>
      <c r="H27" s="275"/>
    </row>
    <row r="28" spans="1:10" ht="222.6" customHeight="1">
      <c r="A28" s="274"/>
      <c r="B28" s="274"/>
      <c r="C28" s="274"/>
      <c r="D28" s="274"/>
      <c r="E28" s="274"/>
      <c r="F28" s="563"/>
      <c r="G28" s="563"/>
      <c r="H28" s="275"/>
    </row>
    <row r="29" spans="1:10">
      <c r="A29" s="564" t="s">
        <v>478</v>
      </c>
      <c r="B29" s="564"/>
      <c r="C29" s="564"/>
      <c r="D29" s="564"/>
      <c r="E29" s="564"/>
      <c r="F29" s="564"/>
      <c r="G29" s="564"/>
      <c r="H29" s="564"/>
    </row>
    <row r="30" spans="1:10">
      <c r="A30" s="264"/>
      <c r="B30" s="264"/>
      <c r="C30" s="264"/>
      <c r="D30" s="264"/>
      <c r="E30" s="264"/>
      <c r="F30" s="264"/>
      <c r="G30" s="264"/>
      <c r="H30" s="264"/>
    </row>
    <row r="31" spans="1:10" ht="27.6">
      <c r="A31" s="276" t="s">
        <v>444</v>
      </c>
      <c r="B31" s="277" t="s">
        <v>59</v>
      </c>
      <c r="C31" s="276" t="s">
        <v>58</v>
      </c>
      <c r="D31" s="276" t="s">
        <v>74</v>
      </c>
      <c r="E31" s="278" t="s">
        <v>69</v>
      </c>
      <c r="F31" s="277" t="s">
        <v>70</v>
      </c>
      <c r="G31" s="277" t="s">
        <v>67</v>
      </c>
      <c r="H31" s="277" t="s">
        <v>509</v>
      </c>
    </row>
    <row r="32" spans="1:10" s="287" customFormat="1" ht="39.6">
      <c r="A32" s="283" t="s">
        <v>461</v>
      </c>
      <c r="B32" s="284">
        <v>13072021</v>
      </c>
      <c r="C32" s="283" t="s">
        <v>76</v>
      </c>
      <c r="D32" s="283" t="s">
        <v>363</v>
      </c>
      <c r="E32" s="285" t="s">
        <v>364</v>
      </c>
      <c r="F32" s="286"/>
      <c r="G32" s="292"/>
      <c r="H32" s="292">
        <v>109.71000000000001</v>
      </c>
      <c r="I32" s="110"/>
      <c r="J32" s="110"/>
    </row>
    <row r="33" spans="1:10" ht="64.95" customHeight="1">
      <c r="A33" s="279" t="s">
        <v>462</v>
      </c>
      <c r="B33" s="280">
        <v>5680</v>
      </c>
      <c r="C33" s="279" t="s">
        <v>23</v>
      </c>
      <c r="D33" s="279" t="s">
        <v>479</v>
      </c>
      <c r="E33" s="281" t="s">
        <v>474</v>
      </c>
      <c r="F33" s="282">
        <v>0.7</v>
      </c>
      <c r="G33" s="293">
        <v>133.97</v>
      </c>
      <c r="H33" s="293">
        <v>93.78</v>
      </c>
    </row>
    <row r="34" spans="1:10" ht="64.95" customHeight="1">
      <c r="A34" s="279" t="s">
        <v>462</v>
      </c>
      <c r="B34" s="280">
        <v>5681</v>
      </c>
      <c r="C34" s="279" t="s">
        <v>23</v>
      </c>
      <c r="D34" s="279" t="s">
        <v>480</v>
      </c>
      <c r="E34" s="281" t="s">
        <v>481</v>
      </c>
      <c r="F34" s="282">
        <v>0.3</v>
      </c>
      <c r="G34" s="293">
        <v>53.11</v>
      </c>
      <c r="H34" s="293">
        <v>15.93</v>
      </c>
    </row>
    <row r="35" spans="1:10">
      <c r="A35" s="274"/>
      <c r="B35" s="274"/>
      <c r="C35" s="274"/>
      <c r="D35" s="274"/>
      <c r="E35" s="274"/>
      <c r="F35" s="275"/>
      <c r="G35" s="274"/>
      <c r="H35" s="275"/>
    </row>
    <row r="36" spans="1:10" ht="27.6">
      <c r="A36" s="276" t="s">
        <v>449</v>
      </c>
      <c r="B36" s="277" t="s">
        <v>59</v>
      </c>
      <c r="C36" s="276" t="s">
        <v>58</v>
      </c>
      <c r="D36" s="276" t="s">
        <v>74</v>
      </c>
      <c r="E36" s="278" t="s">
        <v>69</v>
      </c>
      <c r="F36" s="277" t="s">
        <v>70</v>
      </c>
      <c r="G36" s="277" t="s">
        <v>67</v>
      </c>
      <c r="H36" s="277" t="s">
        <v>509</v>
      </c>
    </row>
    <row r="37" spans="1:10" s="287" customFormat="1" ht="26.4">
      <c r="A37" s="283" t="s">
        <v>461</v>
      </c>
      <c r="B37" s="284" t="s">
        <v>368</v>
      </c>
      <c r="C37" s="283" t="s">
        <v>76</v>
      </c>
      <c r="D37" s="283" t="s">
        <v>369</v>
      </c>
      <c r="E37" s="285" t="s">
        <v>355</v>
      </c>
      <c r="F37" s="286"/>
      <c r="G37" s="292"/>
      <c r="H37" s="292">
        <v>26.78</v>
      </c>
      <c r="I37" s="110"/>
      <c r="J37" s="110"/>
    </row>
    <row r="38" spans="1:10" ht="26.4">
      <c r="A38" s="279" t="s">
        <v>462</v>
      </c>
      <c r="B38" s="280">
        <v>88253</v>
      </c>
      <c r="C38" s="279" t="s">
        <v>23</v>
      </c>
      <c r="D38" s="279" t="s">
        <v>482</v>
      </c>
      <c r="E38" s="281" t="s">
        <v>60</v>
      </c>
      <c r="F38" s="282">
        <v>0.6</v>
      </c>
      <c r="G38" s="293">
        <v>13.96</v>
      </c>
      <c r="H38" s="293">
        <v>8.3800000000000008</v>
      </c>
    </row>
    <row r="39" spans="1:10" ht="26.4">
      <c r="A39" s="279" t="s">
        <v>462</v>
      </c>
      <c r="B39" s="280">
        <v>88262</v>
      </c>
      <c r="C39" s="279" t="s">
        <v>23</v>
      </c>
      <c r="D39" s="279" t="s">
        <v>466</v>
      </c>
      <c r="E39" s="281" t="s">
        <v>60</v>
      </c>
      <c r="F39" s="282">
        <v>0.13</v>
      </c>
      <c r="G39" s="293">
        <v>23.54</v>
      </c>
      <c r="H39" s="293">
        <v>3.06</v>
      </c>
    </row>
    <row r="40" spans="1:10" ht="26.4">
      <c r="A40" s="279" t="s">
        <v>462</v>
      </c>
      <c r="B40" s="280">
        <v>88288</v>
      </c>
      <c r="C40" s="279" t="s">
        <v>23</v>
      </c>
      <c r="D40" s="279" t="s">
        <v>484</v>
      </c>
      <c r="E40" s="281" t="s">
        <v>60</v>
      </c>
      <c r="F40" s="282">
        <v>0.1</v>
      </c>
      <c r="G40" s="293">
        <v>17.309999999999999</v>
      </c>
      <c r="H40" s="293">
        <v>1.73</v>
      </c>
    </row>
    <row r="41" spans="1:10" ht="26.4">
      <c r="A41" s="279" t="s">
        <v>462</v>
      </c>
      <c r="B41" s="280">
        <v>88316</v>
      </c>
      <c r="C41" s="279" t="s">
        <v>23</v>
      </c>
      <c r="D41" s="279" t="s">
        <v>61</v>
      </c>
      <c r="E41" s="281" t="s">
        <v>60</v>
      </c>
      <c r="F41" s="282">
        <v>0.13</v>
      </c>
      <c r="G41" s="293">
        <v>18.72</v>
      </c>
      <c r="H41" s="293">
        <v>2.4300000000000002</v>
      </c>
    </row>
    <row r="42" spans="1:10" ht="25.95" customHeight="1">
      <c r="A42" s="279" t="s">
        <v>465</v>
      </c>
      <c r="B42" s="280">
        <v>344</v>
      </c>
      <c r="C42" s="279" t="s">
        <v>23</v>
      </c>
      <c r="D42" s="279" t="s">
        <v>485</v>
      </c>
      <c r="E42" s="281" t="s">
        <v>470</v>
      </c>
      <c r="F42" s="282">
        <v>0.02</v>
      </c>
      <c r="G42" s="293">
        <v>27.93</v>
      </c>
      <c r="H42" s="293">
        <v>0.56000000000000005</v>
      </c>
    </row>
    <row r="43" spans="1:10" ht="25.95" customHeight="1">
      <c r="A43" s="279" t="s">
        <v>465</v>
      </c>
      <c r="B43" s="280">
        <v>4433</v>
      </c>
      <c r="C43" s="279" t="s">
        <v>23</v>
      </c>
      <c r="D43" s="279" t="s">
        <v>486</v>
      </c>
      <c r="E43" s="281" t="s">
        <v>333</v>
      </c>
      <c r="F43" s="282">
        <v>0.04</v>
      </c>
      <c r="G43" s="293">
        <v>28.94</v>
      </c>
      <c r="H43" s="293">
        <v>1.1599999999999999</v>
      </c>
    </row>
    <row r="44" spans="1:10" ht="25.95" customHeight="1">
      <c r="A44" s="279" t="s">
        <v>465</v>
      </c>
      <c r="B44" s="280">
        <v>5074</v>
      </c>
      <c r="C44" s="279" t="s">
        <v>23</v>
      </c>
      <c r="D44" s="279" t="s">
        <v>487</v>
      </c>
      <c r="E44" s="281" t="s">
        <v>470</v>
      </c>
      <c r="F44" s="282">
        <v>1.2E-2</v>
      </c>
      <c r="G44" s="293">
        <v>23.88</v>
      </c>
      <c r="H44" s="293">
        <v>0.28999999999999998</v>
      </c>
    </row>
    <row r="45" spans="1:10" ht="25.95" customHeight="1">
      <c r="A45" s="279" t="s">
        <v>465</v>
      </c>
      <c r="B45" s="280">
        <v>6189</v>
      </c>
      <c r="C45" s="279" t="s">
        <v>23</v>
      </c>
      <c r="D45" s="279" t="s">
        <v>488</v>
      </c>
      <c r="E45" s="281" t="s">
        <v>333</v>
      </c>
      <c r="F45" s="282">
        <v>0.2853</v>
      </c>
      <c r="G45" s="293">
        <v>30.52</v>
      </c>
      <c r="H45" s="293">
        <v>8.7100000000000009</v>
      </c>
    </row>
    <row r="46" spans="1:10" ht="25.95" customHeight="1">
      <c r="A46" s="279" t="s">
        <v>465</v>
      </c>
      <c r="B46" s="280">
        <v>7247</v>
      </c>
      <c r="C46" s="279" t="s">
        <v>23</v>
      </c>
      <c r="D46" s="279" t="s">
        <v>483</v>
      </c>
      <c r="E46" s="281" t="s">
        <v>60</v>
      </c>
      <c r="F46" s="282">
        <v>0.1</v>
      </c>
      <c r="G46" s="293">
        <v>2.25</v>
      </c>
      <c r="H46" s="293">
        <v>0.23</v>
      </c>
    </row>
    <row r="47" spans="1:10" ht="25.95" customHeight="1">
      <c r="A47" s="279" t="s">
        <v>465</v>
      </c>
      <c r="B47" s="280">
        <v>7252</v>
      </c>
      <c r="C47" s="279" t="s">
        <v>23</v>
      </c>
      <c r="D47" s="279" t="s">
        <v>489</v>
      </c>
      <c r="E47" s="281" t="s">
        <v>60</v>
      </c>
      <c r="F47" s="282">
        <v>0.1</v>
      </c>
      <c r="G47" s="293">
        <v>2.25</v>
      </c>
      <c r="H47" s="293">
        <v>0.23</v>
      </c>
    </row>
    <row r="48" spans="1:10">
      <c r="A48" s="274"/>
      <c r="B48" s="274"/>
      <c r="C48" s="274"/>
      <c r="D48" s="274"/>
      <c r="E48" s="274"/>
      <c r="F48" s="275"/>
      <c r="G48" s="274"/>
      <c r="H48" s="275"/>
    </row>
    <row r="49" spans="1:10" ht="27.6" hidden="1">
      <c r="A49" s="276" t="s">
        <v>455</v>
      </c>
      <c r="B49" s="277" t="s">
        <v>59</v>
      </c>
      <c r="C49" s="276" t="s">
        <v>58</v>
      </c>
      <c r="D49" s="276" t="s">
        <v>74</v>
      </c>
      <c r="E49" s="278" t="s">
        <v>69</v>
      </c>
      <c r="F49" s="277" t="s">
        <v>70</v>
      </c>
      <c r="G49" s="277" t="s">
        <v>67</v>
      </c>
      <c r="H49" s="277" t="s">
        <v>509</v>
      </c>
    </row>
    <row r="50" spans="1:10" s="287" customFormat="1" ht="39.6" hidden="1">
      <c r="A50" s="283" t="s">
        <v>461</v>
      </c>
      <c r="B50" s="284" t="s">
        <v>438</v>
      </c>
      <c r="C50" s="283" t="s">
        <v>76</v>
      </c>
      <c r="D50" s="283" t="s">
        <v>372</v>
      </c>
      <c r="E50" s="285" t="s">
        <v>364</v>
      </c>
      <c r="F50" s="286"/>
      <c r="G50" s="292"/>
      <c r="H50" s="292">
        <v>487.29</v>
      </c>
      <c r="I50" s="110"/>
      <c r="J50" s="110"/>
    </row>
    <row r="51" spans="1:10" ht="26.4" hidden="1">
      <c r="A51" s="279" t="s">
        <v>462</v>
      </c>
      <c r="B51" s="280">
        <v>88309</v>
      </c>
      <c r="C51" s="279" t="s">
        <v>23</v>
      </c>
      <c r="D51" s="279" t="s">
        <v>490</v>
      </c>
      <c r="E51" s="281" t="s">
        <v>60</v>
      </c>
      <c r="F51" s="282">
        <v>2.2158000000000002</v>
      </c>
      <c r="G51" s="293">
        <v>23.9</v>
      </c>
      <c r="H51" s="293">
        <v>52.96</v>
      </c>
    </row>
    <row r="52" spans="1:10" ht="26.4" hidden="1">
      <c r="A52" s="279" t="s">
        <v>462</v>
      </c>
      <c r="B52" s="280">
        <v>88316</v>
      </c>
      <c r="C52" s="279" t="s">
        <v>23</v>
      </c>
      <c r="D52" s="279" t="s">
        <v>61</v>
      </c>
      <c r="E52" s="281" t="s">
        <v>60</v>
      </c>
      <c r="F52" s="282">
        <v>3.1021000000000001</v>
      </c>
      <c r="G52" s="293">
        <v>18.72</v>
      </c>
      <c r="H52" s="293">
        <v>58.07</v>
      </c>
    </row>
    <row r="53" spans="1:10" ht="26.4" hidden="1">
      <c r="A53" s="279" t="s">
        <v>462</v>
      </c>
      <c r="B53" s="280">
        <v>88629</v>
      </c>
      <c r="C53" s="279" t="s">
        <v>23</v>
      </c>
      <c r="D53" s="279" t="s">
        <v>491</v>
      </c>
      <c r="E53" s="281" t="s">
        <v>364</v>
      </c>
      <c r="F53" s="282">
        <v>0.44119999999999998</v>
      </c>
      <c r="G53" s="293">
        <v>650.66999999999996</v>
      </c>
      <c r="H53" s="293">
        <v>287.08</v>
      </c>
    </row>
    <row r="54" spans="1:10" ht="26.4" hidden="1">
      <c r="A54" s="279" t="s">
        <v>462</v>
      </c>
      <c r="B54" s="280">
        <v>2003864</v>
      </c>
      <c r="C54" s="279" t="s">
        <v>15</v>
      </c>
      <c r="D54" s="279" t="s">
        <v>492</v>
      </c>
      <c r="E54" s="281" t="s">
        <v>66</v>
      </c>
      <c r="F54" s="282">
        <v>1.2</v>
      </c>
      <c r="G54" s="293">
        <v>21.44</v>
      </c>
      <c r="H54" s="293">
        <v>25.73</v>
      </c>
    </row>
    <row r="55" spans="1:10" ht="25.95" hidden="1" customHeight="1">
      <c r="A55" s="279" t="s">
        <v>465</v>
      </c>
      <c r="B55" s="280">
        <v>4730</v>
      </c>
      <c r="C55" s="279" t="s">
        <v>23</v>
      </c>
      <c r="D55" s="279" t="s">
        <v>493</v>
      </c>
      <c r="E55" s="281" t="s">
        <v>364</v>
      </c>
      <c r="F55" s="282">
        <v>0.90859999999999996</v>
      </c>
      <c r="G55" s="293">
        <v>69.83</v>
      </c>
      <c r="H55" s="293">
        <v>63.45</v>
      </c>
    </row>
    <row r="56" spans="1:10" hidden="1">
      <c r="A56" s="274"/>
      <c r="B56" s="274"/>
      <c r="C56" s="274"/>
      <c r="D56" s="274"/>
      <c r="E56" s="274"/>
      <c r="F56" s="275"/>
      <c r="G56" s="274"/>
      <c r="H56" s="275"/>
    </row>
    <row r="57" spans="1:10" ht="35.4" customHeight="1">
      <c r="A57" s="276" t="s">
        <v>455</v>
      </c>
      <c r="B57" s="277" t="s">
        <v>59</v>
      </c>
      <c r="C57" s="276" t="s">
        <v>58</v>
      </c>
      <c r="D57" s="276" t="s">
        <v>74</v>
      </c>
      <c r="E57" s="278" t="s">
        <v>69</v>
      </c>
      <c r="F57" s="277" t="s">
        <v>70</v>
      </c>
      <c r="G57" s="277" t="s">
        <v>67</v>
      </c>
      <c r="H57" s="277" t="s">
        <v>509</v>
      </c>
    </row>
    <row r="58" spans="1:10" s="287" customFormat="1" ht="27" customHeight="1">
      <c r="A58" s="283" t="s">
        <v>461</v>
      </c>
      <c r="B58" s="284">
        <v>31115</v>
      </c>
      <c r="C58" s="283" t="s">
        <v>76</v>
      </c>
      <c r="D58" s="283" t="s">
        <v>578</v>
      </c>
      <c r="E58" s="285" t="s">
        <v>28</v>
      </c>
      <c r="F58" s="286"/>
      <c r="G58" s="292"/>
      <c r="H58" s="292">
        <v>390.18999999999994</v>
      </c>
      <c r="I58" s="110"/>
      <c r="J58" s="110"/>
    </row>
    <row r="59" spans="1:10" ht="34.950000000000003" customHeight="1">
      <c r="A59" s="279" t="s">
        <v>462</v>
      </c>
      <c r="B59" s="280">
        <v>88307</v>
      </c>
      <c r="C59" s="279" t="s">
        <v>23</v>
      </c>
      <c r="D59" s="279" t="s">
        <v>543</v>
      </c>
      <c r="E59" s="281" t="s">
        <v>60</v>
      </c>
      <c r="F59" s="282">
        <v>8.3333333333333329E-2</v>
      </c>
      <c r="G59" s="293">
        <v>22.25</v>
      </c>
      <c r="H59" s="293">
        <v>1.85</v>
      </c>
    </row>
    <row r="60" spans="1:10" ht="26.4">
      <c r="A60" s="279" t="s">
        <v>462</v>
      </c>
      <c r="B60" s="280" t="s">
        <v>544</v>
      </c>
      <c r="C60" s="279" t="s">
        <v>15</v>
      </c>
      <c r="D60" s="279" t="s">
        <v>545</v>
      </c>
      <c r="E60" s="281" t="s">
        <v>392</v>
      </c>
      <c r="F60" s="282">
        <v>4.1666666666666664E-2</v>
      </c>
      <c r="G60" s="293">
        <v>243.52</v>
      </c>
      <c r="H60" s="293">
        <v>10.15</v>
      </c>
    </row>
    <row r="61" spans="1:10" ht="26.4">
      <c r="A61" s="279" t="s">
        <v>462</v>
      </c>
      <c r="B61" s="280" t="s">
        <v>879</v>
      </c>
      <c r="C61" s="279" t="s">
        <v>15</v>
      </c>
      <c r="D61" s="279" t="s">
        <v>199</v>
      </c>
      <c r="E61" s="281" t="s">
        <v>82</v>
      </c>
      <c r="F61" s="282">
        <v>6.7559999999999995E-2</v>
      </c>
      <c r="G61" s="293">
        <v>5500</v>
      </c>
      <c r="H61" s="293">
        <v>371.58</v>
      </c>
    </row>
    <row r="62" spans="1:10" ht="25.95" customHeight="1">
      <c r="A62" s="279" t="s">
        <v>465</v>
      </c>
      <c r="B62" s="280">
        <v>2408058</v>
      </c>
      <c r="C62" s="279" t="s">
        <v>15</v>
      </c>
      <c r="D62" s="279" t="s">
        <v>576</v>
      </c>
      <c r="E62" s="281" t="s">
        <v>273</v>
      </c>
      <c r="F62" s="282">
        <v>7.7693999999999985E-2</v>
      </c>
      <c r="G62" s="293">
        <v>65.400000000000006</v>
      </c>
      <c r="H62" s="293">
        <v>5.08</v>
      </c>
    </row>
    <row r="63" spans="1:10" ht="39.6">
      <c r="A63" s="279" t="s">
        <v>465</v>
      </c>
      <c r="B63" s="280">
        <v>4730</v>
      </c>
      <c r="C63" s="279" t="s">
        <v>15</v>
      </c>
      <c r="D63" s="279" t="s">
        <v>577</v>
      </c>
      <c r="E63" s="281" t="s">
        <v>82</v>
      </c>
      <c r="F63" s="282">
        <v>6.7559999999999995E-2</v>
      </c>
      <c r="G63" s="293">
        <v>22.61</v>
      </c>
      <c r="H63" s="293">
        <v>1.53</v>
      </c>
    </row>
    <row r="64" spans="1:10">
      <c r="A64" s="274"/>
      <c r="B64" s="274"/>
      <c r="C64" s="274"/>
      <c r="D64" s="274"/>
      <c r="E64" s="274"/>
      <c r="F64" s="275"/>
      <c r="G64" s="274"/>
      <c r="H64" s="275"/>
    </row>
    <row r="65" spans="1:10" ht="35.4" customHeight="1">
      <c r="A65" s="276" t="s">
        <v>580</v>
      </c>
      <c r="B65" s="277" t="s">
        <v>59</v>
      </c>
      <c r="C65" s="276" t="s">
        <v>58</v>
      </c>
      <c r="D65" s="276" t="s">
        <v>74</v>
      </c>
      <c r="E65" s="278" t="s">
        <v>69</v>
      </c>
      <c r="F65" s="277" t="s">
        <v>70</v>
      </c>
      <c r="G65" s="277" t="s">
        <v>67</v>
      </c>
      <c r="H65" s="277" t="s">
        <v>509</v>
      </c>
    </row>
    <row r="66" spans="1:10" s="287" customFormat="1" ht="27" customHeight="1">
      <c r="A66" s="283" t="s">
        <v>461</v>
      </c>
      <c r="B66" s="284">
        <v>31115</v>
      </c>
      <c r="C66" s="283" t="s">
        <v>76</v>
      </c>
      <c r="D66" s="283" t="s">
        <v>579</v>
      </c>
      <c r="E66" s="285" t="s">
        <v>28</v>
      </c>
      <c r="F66" s="286"/>
      <c r="G66" s="292"/>
      <c r="H66" s="292">
        <v>780.37999999999988</v>
      </c>
      <c r="I66" s="110"/>
      <c r="J66" s="110"/>
    </row>
    <row r="67" spans="1:10" ht="34.950000000000003" customHeight="1">
      <c r="A67" s="279" t="s">
        <v>462</v>
      </c>
      <c r="B67" s="280">
        <v>88307</v>
      </c>
      <c r="C67" s="279" t="s">
        <v>23</v>
      </c>
      <c r="D67" s="279" t="s">
        <v>543</v>
      </c>
      <c r="E67" s="281" t="s">
        <v>60</v>
      </c>
      <c r="F67" s="282">
        <v>0.16666666666666666</v>
      </c>
      <c r="G67" s="293">
        <v>22.25</v>
      </c>
      <c r="H67" s="293">
        <v>3.71</v>
      </c>
    </row>
    <row r="68" spans="1:10" ht="26.4">
      <c r="A68" s="279" t="s">
        <v>462</v>
      </c>
      <c r="B68" s="280" t="s">
        <v>544</v>
      </c>
      <c r="C68" s="279" t="s">
        <v>15</v>
      </c>
      <c r="D68" s="279" t="s">
        <v>545</v>
      </c>
      <c r="E68" s="281" t="s">
        <v>392</v>
      </c>
      <c r="F68" s="282">
        <v>8.3333333333333329E-2</v>
      </c>
      <c r="G68" s="293">
        <v>243.52</v>
      </c>
      <c r="H68" s="293">
        <v>20.29</v>
      </c>
    </row>
    <row r="69" spans="1:10" ht="26.4">
      <c r="A69" s="279" t="s">
        <v>462</v>
      </c>
      <c r="B69" s="280" t="s">
        <v>879</v>
      </c>
      <c r="C69" s="279" t="s">
        <v>15</v>
      </c>
      <c r="D69" s="279" t="s">
        <v>199</v>
      </c>
      <c r="E69" s="281" t="s">
        <v>82</v>
      </c>
      <c r="F69" s="282">
        <v>0.13511999999999999</v>
      </c>
      <c r="G69" s="293">
        <v>5500</v>
      </c>
      <c r="H69" s="293">
        <v>743.16</v>
      </c>
    </row>
    <row r="70" spans="1:10" ht="25.95" customHeight="1">
      <c r="A70" s="279" t="s">
        <v>465</v>
      </c>
      <c r="B70" s="280">
        <v>2408058</v>
      </c>
      <c r="C70" s="279" t="s">
        <v>15</v>
      </c>
      <c r="D70" s="279" t="s">
        <v>576</v>
      </c>
      <c r="E70" s="281" t="s">
        <v>273</v>
      </c>
      <c r="F70" s="282">
        <v>0.15538799999999997</v>
      </c>
      <c r="G70" s="293">
        <v>65.400000000000006</v>
      </c>
      <c r="H70" s="293">
        <v>10.16</v>
      </c>
    </row>
    <row r="71" spans="1:10" ht="39.6">
      <c r="A71" s="279" t="s">
        <v>465</v>
      </c>
      <c r="B71" s="280">
        <v>4730</v>
      </c>
      <c r="C71" s="279" t="s">
        <v>15</v>
      </c>
      <c r="D71" s="279" t="s">
        <v>577</v>
      </c>
      <c r="E71" s="281" t="s">
        <v>82</v>
      </c>
      <c r="F71" s="282">
        <v>0.13511999999999999</v>
      </c>
      <c r="G71" s="293">
        <v>22.61</v>
      </c>
      <c r="H71" s="293">
        <v>3.06</v>
      </c>
    </row>
    <row r="72" spans="1:10">
      <c r="A72" s="274"/>
      <c r="B72" s="274"/>
      <c r="C72" s="274"/>
      <c r="D72" s="274"/>
      <c r="E72" s="274"/>
      <c r="F72" s="275"/>
      <c r="G72" s="274"/>
      <c r="H72" s="275"/>
    </row>
    <row r="73" spans="1:10" ht="27.6">
      <c r="A73" s="276" t="s">
        <v>581</v>
      </c>
      <c r="B73" s="277" t="s">
        <v>59</v>
      </c>
      <c r="C73" s="276" t="s">
        <v>58</v>
      </c>
      <c r="D73" s="276" t="s">
        <v>74</v>
      </c>
      <c r="E73" s="278" t="s">
        <v>69</v>
      </c>
      <c r="F73" s="277" t="s">
        <v>70</v>
      </c>
      <c r="G73" s="277" t="s">
        <v>67</v>
      </c>
      <c r="H73" s="277" t="s">
        <v>509</v>
      </c>
    </row>
    <row r="74" spans="1:10" s="287" customFormat="1">
      <c r="A74" s="283" t="s">
        <v>461</v>
      </c>
      <c r="B74" s="284" t="s">
        <v>584</v>
      </c>
      <c r="C74" s="283" t="s">
        <v>76</v>
      </c>
      <c r="D74" s="283" t="s">
        <v>538</v>
      </c>
      <c r="E74" s="285" t="s">
        <v>28</v>
      </c>
      <c r="F74" s="286"/>
      <c r="G74" s="292"/>
      <c r="H74" s="292">
        <v>890.38</v>
      </c>
      <c r="I74" s="110"/>
      <c r="J74" s="110"/>
    </row>
    <row r="75" spans="1:10" s="287" customFormat="1" ht="26.4">
      <c r="A75" s="279" t="s">
        <v>462</v>
      </c>
      <c r="B75" s="280">
        <v>88240</v>
      </c>
      <c r="C75" s="279" t="s">
        <v>23</v>
      </c>
      <c r="D75" s="279" t="s">
        <v>588</v>
      </c>
      <c r="E75" s="281" t="s">
        <v>60</v>
      </c>
      <c r="F75" s="282">
        <v>0.5</v>
      </c>
      <c r="G75" s="293">
        <v>15.44</v>
      </c>
      <c r="H75" s="293">
        <v>7.72</v>
      </c>
      <c r="I75" s="110"/>
      <c r="J75" s="110"/>
    </row>
    <row r="76" spans="1:10" s="287" customFormat="1" ht="26.4">
      <c r="A76" s="279" t="s">
        <v>462</v>
      </c>
      <c r="B76" s="280">
        <v>88278</v>
      </c>
      <c r="C76" s="279" t="s">
        <v>23</v>
      </c>
      <c r="D76" s="279" t="s">
        <v>589</v>
      </c>
      <c r="E76" s="281" t="s">
        <v>60</v>
      </c>
      <c r="F76" s="282">
        <v>0.5</v>
      </c>
      <c r="G76" s="293">
        <v>20.22</v>
      </c>
      <c r="H76" s="293">
        <v>10.11</v>
      </c>
      <c r="I76" s="110"/>
      <c r="J76" s="110"/>
    </row>
    <row r="77" spans="1:10" s="287" customFormat="1" ht="26.4">
      <c r="A77" s="279" t="s">
        <v>462</v>
      </c>
      <c r="B77" s="280">
        <v>88317</v>
      </c>
      <c r="C77" s="279" t="s">
        <v>23</v>
      </c>
      <c r="D77" s="279" t="s">
        <v>590</v>
      </c>
      <c r="E77" s="281" t="s">
        <v>60</v>
      </c>
      <c r="F77" s="282">
        <v>0.5</v>
      </c>
      <c r="G77" s="293">
        <v>24.56</v>
      </c>
      <c r="H77" s="293">
        <v>12.28</v>
      </c>
      <c r="I77" s="110"/>
      <c r="J77" s="110"/>
    </row>
    <row r="78" spans="1:10" s="287" customFormat="1" ht="39.6">
      <c r="A78" s="279" t="s">
        <v>462</v>
      </c>
      <c r="B78" s="280">
        <v>93287</v>
      </c>
      <c r="C78" s="279" t="s">
        <v>23</v>
      </c>
      <c r="D78" s="279" t="s">
        <v>591</v>
      </c>
      <c r="E78" s="281" t="s">
        <v>474</v>
      </c>
      <c r="F78" s="282">
        <v>0.3</v>
      </c>
      <c r="G78" s="293">
        <v>332.42</v>
      </c>
      <c r="H78" s="293">
        <v>99.73</v>
      </c>
      <c r="I78" s="110"/>
      <c r="J78" s="110"/>
    </row>
    <row r="79" spans="1:10" s="287" customFormat="1" ht="39.6">
      <c r="A79" s="279" t="s">
        <v>462</v>
      </c>
      <c r="B79" s="280">
        <v>93288</v>
      </c>
      <c r="C79" s="279" t="s">
        <v>23</v>
      </c>
      <c r="D79" s="279" t="s">
        <v>592</v>
      </c>
      <c r="E79" s="281" t="s">
        <v>481</v>
      </c>
      <c r="F79" s="282">
        <v>0.3</v>
      </c>
      <c r="G79" s="293">
        <v>164.02</v>
      </c>
      <c r="H79" s="293">
        <v>49.21</v>
      </c>
      <c r="I79" s="110"/>
      <c r="J79" s="110"/>
    </row>
    <row r="80" spans="1:10" s="287" customFormat="1" ht="26.4">
      <c r="A80" s="279" t="s">
        <v>462</v>
      </c>
      <c r="B80" s="280">
        <v>100716</v>
      </c>
      <c r="C80" s="279" t="s">
        <v>23</v>
      </c>
      <c r="D80" s="279" t="s">
        <v>593</v>
      </c>
      <c r="E80" s="281" t="s">
        <v>355</v>
      </c>
      <c r="F80" s="282">
        <v>0.5</v>
      </c>
      <c r="G80" s="293">
        <v>27.04</v>
      </c>
      <c r="H80" s="293">
        <v>13.52</v>
      </c>
      <c r="I80" s="110"/>
      <c r="J80" s="110"/>
    </row>
    <row r="81" spans="1:11" s="287" customFormat="1" ht="39.6">
      <c r="A81" s="279" t="s">
        <v>462</v>
      </c>
      <c r="B81" s="280">
        <v>100719</v>
      </c>
      <c r="C81" s="279" t="s">
        <v>23</v>
      </c>
      <c r="D81" s="279" t="s">
        <v>594</v>
      </c>
      <c r="E81" s="281" t="s">
        <v>355</v>
      </c>
      <c r="F81" s="282">
        <v>0.5</v>
      </c>
      <c r="G81" s="293">
        <v>10.84</v>
      </c>
      <c r="H81" s="293">
        <v>5.42</v>
      </c>
      <c r="I81" s="110"/>
      <c r="J81" s="110"/>
    </row>
    <row r="82" spans="1:11" s="287" customFormat="1" ht="39.6">
      <c r="A82" s="279" t="s">
        <v>462</v>
      </c>
      <c r="B82" s="280">
        <v>83766</v>
      </c>
      <c r="C82" s="279" t="s">
        <v>23</v>
      </c>
      <c r="D82" s="279" t="s">
        <v>501</v>
      </c>
      <c r="E82" s="281" t="s">
        <v>481</v>
      </c>
      <c r="F82" s="282">
        <v>0.5</v>
      </c>
      <c r="G82" s="293">
        <v>35.51</v>
      </c>
      <c r="H82" s="293">
        <v>17.760000000000002</v>
      </c>
      <c r="I82" s="110"/>
      <c r="J82" s="110"/>
    </row>
    <row r="83" spans="1:11" ht="15" customHeight="1">
      <c r="A83" s="279" t="s">
        <v>462</v>
      </c>
      <c r="B83" s="280">
        <v>83765</v>
      </c>
      <c r="C83" s="279" t="s">
        <v>23</v>
      </c>
      <c r="D83" s="279" t="s">
        <v>502</v>
      </c>
      <c r="E83" s="281" t="s">
        <v>474</v>
      </c>
      <c r="F83" s="282">
        <v>0.5</v>
      </c>
      <c r="G83" s="293">
        <v>99.49</v>
      </c>
      <c r="H83" s="293">
        <v>49.75</v>
      </c>
    </row>
    <row r="84" spans="1:11" ht="15" customHeight="1">
      <c r="A84" s="279" t="s">
        <v>465</v>
      </c>
      <c r="B84" s="280" t="s">
        <v>585</v>
      </c>
      <c r="C84" s="279" t="s">
        <v>23</v>
      </c>
      <c r="D84" s="279" t="s">
        <v>595</v>
      </c>
      <c r="E84" s="281" t="s">
        <v>470</v>
      </c>
      <c r="F84" s="282">
        <v>25</v>
      </c>
      <c r="G84" s="293">
        <v>10.69</v>
      </c>
      <c r="H84" s="293">
        <v>267.25</v>
      </c>
    </row>
    <row r="85" spans="1:11" ht="24" customHeight="1">
      <c r="A85" s="279" t="s">
        <v>465</v>
      </c>
      <c r="B85" s="280" t="s">
        <v>586</v>
      </c>
      <c r="C85" s="279" t="s">
        <v>23</v>
      </c>
      <c r="D85" s="279" t="s">
        <v>596</v>
      </c>
      <c r="E85" s="281" t="s">
        <v>470</v>
      </c>
      <c r="F85" s="282">
        <v>2</v>
      </c>
      <c r="G85" s="293">
        <v>29.38</v>
      </c>
      <c r="H85" s="293">
        <v>58.76</v>
      </c>
    </row>
    <row r="86" spans="1:11" ht="26.4">
      <c r="A86" s="279" t="s">
        <v>465</v>
      </c>
      <c r="B86" s="280" t="s">
        <v>585</v>
      </c>
      <c r="C86" s="279" t="s">
        <v>23</v>
      </c>
      <c r="D86" s="279" t="s">
        <v>595</v>
      </c>
      <c r="E86" s="281" t="s">
        <v>470</v>
      </c>
      <c r="F86" s="282">
        <v>25</v>
      </c>
      <c r="G86" s="293">
        <v>10.69</v>
      </c>
      <c r="H86" s="293">
        <v>267.25</v>
      </c>
    </row>
    <row r="87" spans="1:11" ht="26.4">
      <c r="A87" s="279" t="s">
        <v>465</v>
      </c>
      <c r="B87" s="280" t="s">
        <v>587</v>
      </c>
      <c r="C87" s="279" t="s">
        <v>23</v>
      </c>
      <c r="D87" s="279" t="s">
        <v>597</v>
      </c>
      <c r="E87" s="281" t="s">
        <v>367</v>
      </c>
      <c r="F87" s="282">
        <v>3</v>
      </c>
      <c r="G87" s="293">
        <v>10.54</v>
      </c>
      <c r="H87" s="293">
        <v>31.62</v>
      </c>
    </row>
    <row r="88" spans="1:11">
      <c r="A88" s="274"/>
      <c r="B88" s="274"/>
      <c r="C88" s="274"/>
      <c r="D88" s="274"/>
      <c r="E88" s="274"/>
      <c r="F88" s="275"/>
      <c r="G88" s="274"/>
      <c r="H88" s="275"/>
    </row>
    <row r="89" spans="1:11" ht="27.6">
      <c r="A89" s="276" t="s">
        <v>456</v>
      </c>
      <c r="B89" s="277" t="s">
        <v>59</v>
      </c>
      <c r="C89" s="276" t="s">
        <v>58</v>
      </c>
      <c r="D89" s="276" t="s">
        <v>74</v>
      </c>
      <c r="E89" s="278" t="s">
        <v>69</v>
      </c>
      <c r="F89" s="277" t="s">
        <v>70</v>
      </c>
      <c r="G89" s="277" t="s">
        <v>67</v>
      </c>
      <c r="H89" s="277" t="s">
        <v>509</v>
      </c>
    </row>
    <row r="90" spans="1:11" s="287" customFormat="1" ht="18.600000000000001" customHeight="1">
      <c r="A90" s="283" t="s">
        <v>461</v>
      </c>
      <c r="B90" s="284" t="s">
        <v>603</v>
      </c>
      <c r="C90" s="283" t="s">
        <v>76</v>
      </c>
      <c r="D90" s="283" t="s">
        <v>582</v>
      </c>
      <c r="E90" s="285" t="s">
        <v>28</v>
      </c>
      <c r="F90" s="286"/>
      <c r="G90" s="292"/>
      <c r="H90" s="292">
        <v>537.33000000000004</v>
      </c>
      <c r="I90" s="110"/>
      <c r="J90" s="110"/>
    </row>
    <row r="91" spans="1:11" ht="15" customHeight="1">
      <c r="A91" s="279" t="s">
        <v>462</v>
      </c>
      <c r="B91" s="280">
        <v>88240</v>
      </c>
      <c r="C91" s="279" t="s">
        <v>23</v>
      </c>
      <c r="D91" s="279" t="s">
        <v>588</v>
      </c>
      <c r="E91" s="281" t="s">
        <v>60</v>
      </c>
      <c r="F91" s="282">
        <v>1</v>
      </c>
      <c r="G91" s="293">
        <v>15.44</v>
      </c>
      <c r="H91" s="293">
        <v>15.44</v>
      </c>
      <c r="K91" s="322" t="e">
        <f>#REF!*30.12</f>
        <v>#REF!</v>
      </c>
    </row>
    <row r="92" spans="1:11" ht="26.4">
      <c r="A92" s="279" t="s">
        <v>462</v>
      </c>
      <c r="B92" s="280">
        <v>88278</v>
      </c>
      <c r="C92" s="279" t="s">
        <v>23</v>
      </c>
      <c r="D92" s="279" t="s">
        <v>589</v>
      </c>
      <c r="E92" s="281" t="s">
        <v>60</v>
      </c>
      <c r="F92" s="282">
        <v>1</v>
      </c>
      <c r="G92" s="293">
        <v>20.22</v>
      </c>
      <c r="H92" s="293">
        <v>20.22</v>
      </c>
    </row>
    <row r="93" spans="1:11" ht="26.4">
      <c r="A93" s="279" t="s">
        <v>462</v>
      </c>
      <c r="B93" s="280">
        <v>88317</v>
      </c>
      <c r="C93" s="279" t="s">
        <v>23</v>
      </c>
      <c r="D93" s="279" t="s">
        <v>590</v>
      </c>
      <c r="E93" s="281" t="s">
        <v>60</v>
      </c>
      <c r="F93" s="282">
        <v>1</v>
      </c>
      <c r="G93" s="293">
        <v>24.56</v>
      </c>
      <c r="H93" s="293">
        <v>24.56</v>
      </c>
    </row>
    <row r="94" spans="1:11" ht="26.4">
      <c r="A94" s="279" t="s">
        <v>462</v>
      </c>
      <c r="B94" s="280">
        <v>100716</v>
      </c>
      <c r="C94" s="279" t="s">
        <v>23</v>
      </c>
      <c r="D94" s="279" t="s">
        <v>593</v>
      </c>
      <c r="E94" s="281" t="s">
        <v>355</v>
      </c>
      <c r="F94" s="282">
        <v>0.8</v>
      </c>
      <c r="G94" s="293">
        <v>27.04</v>
      </c>
      <c r="H94" s="293">
        <v>21.63</v>
      </c>
    </row>
    <row r="95" spans="1:11" ht="39.6">
      <c r="A95" s="279" t="s">
        <v>462</v>
      </c>
      <c r="B95" s="280">
        <v>100719</v>
      </c>
      <c r="C95" s="279" t="s">
        <v>23</v>
      </c>
      <c r="D95" s="279" t="s">
        <v>594</v>
      </c>
      <c r="E95" s="281" t="s">
        <v>355</v>
      </c>
      <c r="F95" s="282">
        <v>0.8</v>
      </c>
      <c r="G95" s="293">
        <v>10.84</v>
      </c>
      <c r="H95" s="293">
        <v>8.67</v>
      </c>
    </row>
    <row r="96" spans="1:11" ht="39.6" customHeight="1">
      <c r="A96" s="279" t="s">
        <v>462</v>
      </c>
      <c r="B96" s="280">
        <v>83766</v>
      </c>
      <c r="C96" s="279" t="s">
        <v>23</v>
      </c>
      <c r="D96" s="279" t="s">
        <v>501</v>
      </c>
      <c r="E96" s="281" t="s">
        <v>481</v>
      </c>
      <c r="F96" s="282">
        <v>0.5</v>
      </c>
      <c r="G96" s="293">
        <v>35.51</v>
      </c>
      <c r="H96" s="293">
        <v>17.760000000000002</v>
      </c>
    </row>
    <row r="97" spans="1:10" ht="39.6">
      <c r="A97" s="279" t="s">
        <v>462</v>
      </c>
      <c r="B97" s="280">
        <v>83765</v>
      </c>
      <c r="C97" s="279" t="s">
        <v>23</v>
      </c>
      <c r="D97" s="279" t="s">
        <v>502</v>
      </c>
      <c r="E97" s="281" t="s">
        <v>474</v>
      </c>
      <c r="F97" s="282">
        <v>0.5</v>
      </c>
      <c r="G97" s="293">
        <v>99.49</v>
      </c>
      <c r="H97" s="293">
        <v>49.75</v>
      </c>
    </row>
    <row r="98" spans="1:10" ht="39.6" customHeight="1">
      <c r="A98" s="279" t="s">
        <v>462</v>
      </c>
      <c r="B98" s="280" t="s">
        <v>879</v>
      </c>
      <c r="C98" s="279" t="s">
        <v>15</v>
      </c>
      <c r="D98" s="279" t="s">
        <v>199</v>
      </c>
      <c r="E98" s="281" t="s">
        <v>82</v>
      </c>
      <c r="F98" s="282">
        <v>6.7559999999999995E-2</v>
      </c>
      <c r="G98" s="293">
        <v>5500</v>
      </c>
      <c r="H98" s="293">
        <v>371.58</v>
      </c>
    </row>
    <row r="99" spans="1:10">
      <c r="A99" s="279" t="s">
        <v>465</v>
      </c>
      <c r="B99" s="280">
        <v>2408058</v>
      </c>
      <c r="C99" s="279" t="s">
        <v>15</v>
      </c>
      <c r="D99" s="279" t="s">
        <v>576</v>
      </c>
      <c r="E99" s="281" t="s">
        <v>273</v>
      </c>
      <c r="F99" s="282">
        <v>9.4583999999999988E-2</v>
      </c>
      <c r="G99" s="293">
        <v>65.400000000000006</v>
      </c>
      <c r="H99" s="293">
        <v>6.19</v>
      </c>
    </row>
    <row r="100" spans="1:10" ht="48" customHeight="1">
      <c r="A100" s="279" t="s">
        <v>465</v>
      </c>
      <c r="B100" s="280">
        <v>4730</v>
      </c>
      <c r="C100" s="279" t="s">
        <v>15</v>
      </c>
      <c r="D100" s="279" t="s">
        <v>577</v>
      </c>
      <c r="E100" s="281" t="s">
        <v>82</v>
      </c>
      <c r="F100" s="282">
        <v>6.7559999999999995E-2</v>
      </c>
      <c r="G100" s="293">
        <v>22.61</v>
      </c>
      <c r="H100" s="293">
        <v>1.53</v>
      </c>
    </row>
    <row r="101" spans="1:10" ht="24" hidden="1" customHeight="1">
      <c r="A101" s="279" t="s">
        <v>465</v>
      </c>
      <c r="B101" s="280" t="s">
        <v>15</v>
      </c>
      <c r="C101" s="279" t="s">
        <v>81</v>
      </c>
      <c r="D101" s="279" t="s">
        <v>494</v>
      </c>
      <c r="E101" s="289" t="s">
        <v>392</v>
      </c>
      <c r="F101" s="291"/>
      <c r="G101" s="296">
        <v>7.6243999999999996</v>
      </c>
      <c r="H101" s="293">
        <v>0</v>
      </c>
    </row>
    <row r="102" spans="1:10" ht="24" hidden="1" customHeight="1">
      <c r="A102" s="279" t="s">
        <v>465</v>
      </c>
      <c r="B102" s="280" t="s">
        <v>15</v>
      </c>
      <c r="C102" s="279" t="s">
        <v>14</v>
      </c>
      <c r="D102" s="279" t="s">
        <v>199</v>
      </c>
      <c r="E102" s="289" t="s">
        <v>82</v>
      </c>
      <c r="F102" s="291"/>
      <c r="G102" s="296">
        <v>12554.0167</v>
      </c>
      <c r="H102" s="293">
        <v>0</v>
      </c>
    </row>
    <row r="103" spans="1:10" ht="19.95" hidden="1" customHeight="1">
      <c r="A103" s="562"/>
      <c r="B103" s="562"/>
      <c r="C103" s="562"/>
      <c r="D103" s="562"/>
      <c r="E103" s="562" t="s">
        <v>495</v>
      </c>
      <c r="F103" s="562"/>
      <c r="G103" s="562"/>
      <c r="H103" s="295">
        <v>0</v>
      </c>
    </row>
    <row r="104" spans="1:10" ht="19.95" hidden="1" customHeight="1">
      <c r="A104" s="276" t="s">
        <v>83</v>
      </c>
      <c r="B104" s="277" t="s">
        <v>58</v>
      </c>
      <c r="C104" s="276" t="s">
        <v>59</v>
      </c>
      <c r="D104" s="276" t="s">
        <v>84</v>
      </c>
      <c r="E104" s="290" t="s">
        <v>69</v>
      </c>
      <c r="F104" s="290" t="s">
        <v>70</v>
      </c>
      <c r="G104" s="290" t="s">
        <v>67</v>
      </c>
      <c r="H104" s="277" t="s">
        <v>78</v>
      </c>
    </row>
    <row r="105" spans="1:10" ht="52.2" hidden="1" customHeight="1">
      <c r="A105" s="279" t="s">
        <v>496</v>
      </c>
      <c r="B105" s="280" t="s">
        <v>15</v>
      </c>
      <c r="C105" s="279">
        <v>5914685</v>
      </c>
      <c r="D105" s="279" t="s">
        <v>510</v>
      </c>
      <c r="E105" s="289" t="s">
        <v>82</v>
      </c>
      <c r="F105" s="288">
        <v>0</v>
      </c>
      <c r="G105" s="294">
        <v>27.28</v>
      </c>
      <c r="H105" s="293">
        <v>0</v>
      </c>
    </row>
    <row r="106" spans="1:10" ht="19.95" hidden="1" customHeight="1">
      <c r="A106" s="562"/>
      <c r="B106" s="562"/>
      <c r="C106" s="562"/>
      <c r="D106" s="562"/>
      <c r="E106" s="562" t="s">
        <v>497</v>
      </c>
      <c r="F106" s="562"/>
      <c r="G106" s="562"/>
      <c r="H106" s="295">
        <v>0</v>
      </c>
    </row>
    <row r="107" spans="1:10">
      <c r="A107" s="274"/>
      <c r="B107" s="274"/>
      <c r="C107" s="274"/>
      <c r="D107" s="274"/>
      <c r="E107" s="274"/>
      <c r="F107" s="275"/>
      <c r="G107" s="274"/>
      <c r="H107" s="275"/>
    </row>
    <row r="108" spans="1:10" ht="27.6">
      <c r="A108" s="276" t="s">
        <v>457</v>
      </c>
      <c r="B108" s="277" t="s">
        <v>59</v>
      </c>
      <c r="C108" s="276" t="s">
        <v>58</v>
      </c>
      <c r="D108" s="276" t="s">
        <v>74</v>
      </c>
      <c r="E108" s="278" t="s">
        <v>69</v>
      </c>
      <c r="F108" s="277" t="s">
        <v>70</v>
      </c>
      <c r="G108" s="277" t="s">
        <v>67</v>
      </c>
      <c r="H108" s="277" t="s">
        <v>509</v>
      </c>
    </row>
    <row r="109" spans="1:10" s="287" customFormat="1" ht="26.4">
      <c r="A109" s="283" t="s">
        <v>461</v>
      </c>
      <c r="B109" s="284">
        <v>13072039</v>
      </c>
      <c r="C109" s="283" t="s">
        <v>76</v>
      </c>
      <c r="D109" s="283" t="s">
        <v>374</v>
      </c>
      <c r="E109" s="285" t="s">
        <v>60</v>
      </c>
      <c r="F109" s="286"/>
      <c r="G109" s="292"/>
      <c r="H109" s="292">
        <v>136.35</v>
      </c>
      <c r="I109" s="110"/>
      <c r="J109" s="110"/>
    </row>
    <row r="110" spans="1:10" ht="64.95" customHeight="1">
      <c r="A110" s="279" t="s">
        <v>462</v>
      </c>
      <c r="B110" s="280">
        <v>93402</v>
      </c>
      <c r="C110" s="279" t="s">
        <v>23</v>
      </c>
      <c r="D110" s="279" t="s">
        <v>473</v>
      </c>
      <c r="E110" s="281" t="s">
        <v>474</v>
      </c>
      <c r="F110" s="282">
        <v>0.4</v>
      </c>
      <c r="G110" s="293">
        <v>264.22000000000003</v>
      </c>
      <c r="H110" s="293">
        <v>105.69</v>
      </c>
    </row>
    <row r="111" spans="1:10" ht="64.95" customHeight="1">
      <c r="A111" s="279" t="s">
        <v>462</v>
      </c>
      <c r="B111" s="280">
        <v>93403</v>
      </c>
      <c r="C111" s="279" t="s">
        <v>23</v>
      </c>
      <c r="D111" s="279" t="s">
        <v>498</v>
      </c>
      <c r="E111" s="281" t="s">
        <v>481</v>
      </c>
      <c r="F111" s="282">
        <v>0.6</v>
      </c>
      <c r="G111" s="293">
        <v>51.1</v>
      </c>
      <c r="H111" s="293">
        <v>30.66</v>
      </c>
    </row>
    <row r="112" spans="1:10">
      <c r="A112" s="274"/>
      <c r="B112" s="274"/>
      <c r="C112" s="274"/>
      <c r="D112" s="274"/>
      <c r="E112" s="274"/>
      <c r="F112" s="275"/>
      <c r="G112" s="274"/>
      <c r="H112" s="275"/>
    </row>
    <row r="113" spans="1:10" ht="27.6" hidden="1">
      <c r="A113" s="276" t="s">
        <v>458</v>
      </c>
      <c r="B113" s="277" t="s">
        <v>59</v>
      </c>
      <c r="C113" s="276" t="s">
        <v>58</v>
      </c>
      <c r="D113" s="276" t="s">
        <v>74</v>
      </c>
      <c r="E113" s="278" t="s">
        <v>69</v>
      </c>
      <c r="F113" s="277" t="s">
        <v>70</v>
      </c>
      <c r="G113" s="277" t="s">
        <v>67</v>
      </c>
      <c r="H113" s="277" t="s">
        <v>509</v>
      </c>
    </row>
    <row r="114" spans="1:10" s="287" customFormat="1" ht="66" hidden="1">
      <c r="A114" s="283" t="s">
        <v>461</v>
      </c>
      <c r="B114" s="284">
        <v>13072040</v>
      </c>
      <c r="C114" s="283" t="s">
        <v>76</v>
      </c>
      <c r="D114" s="283" t="s">
        <v>615</v>
      </c>
      <c r="E114" s="285" t="s">
        <v>355</v>
      </c>
      <c r="F114" s="286"/>
      <c r="G114" s="292"/>
      <c r="H114" s="292">
        <v>1106.6899999999998</v>
      </c>
      <c r="I114" s="110"/>
      <c r="J114" s="110"/>
    </row>
    <row r="115" spans="1:10" ht="25.95" hidden="1" customHeight="1">
      <c r="A115" s="279" t="s">
        <v>462</v>
      </c>
      <c r="B115" s="280">
        <v>96529</v>
      </c>
      <c r="C115" s="279" t="s">
        <v>23</v>
      </c>
      <c r="D115" s="279" t="s">
        <v>607</v>
      </c>
      <c r="E115" s="281" t="s">
        <v>355</v>
      </c>
      <c r="F115" s="282">
        <v>1</v>
      </c>
      <c r="G115" s="293">
        <v>359.32</v>
      </c>
      <c r="H115" s="293">
        <v>359.32</v>
      </c>
    </row>
    <row r="116" spans="1:10" ht="36" hidden="1" customHeight="1">
      <c r="A116" s="279" t="s">
        <v>462</v>
      </c>
      <c r="B116" s="280" t="s">
        <v>613</v>
      </c>
      <c r="C116" s="279" t="s">
        <v>23</v>
      </c>
      <c r="D116" s="279" t="s">
        <v>616</v>
      </c>
      <c r="E116" s="281" t="s">
        <v>364</v>
      </c>
      <c r="F116" s="282">
        <v>0.25</v>
      </c>
      <c r="G116" s="293">
        <v>1426.8500000000001</v>
      </c>
      <c r="H116" s="293">
        <v>356.71</v>
      </c>
    </row>
    <row r="117" spans="1:10" ht="39" hidden="1" customHeight="1">
      <c r="A117" s="279" t="s">
        <v>462</v>
      </c>
      <c r="B117" s="280" t="s">
        <v>608</v>
      </c>
      <c r="C117" s="279" t="s">
        <v>23</v>
      </c>
      <c r="D117" s="279" t="s">
        <v>466</v>
      </c>
      <c r="E117" s="281" t="s">
        <v>60</v>
      </c>
      <c r="F117" s="282">
        <v>1</v>
      </c>
      <c r="G117" s="293">
        <v>23.54</v>
      </c>
      <c r="H117" s="293">
        <v>23.54</v>
      </c>
    </row>
    <row r="118" spans="1:10" ht="39" hidden="1" customHeight="1">
      <c r="A118" s="279" t="s">
        <v>462</v>
      </c>
      <c r="B118" s="280" t="s">
        <v>609</v>
      </c>
      <c r="C118" s="279" t="s">
        <v>23</v>
      </c>
      <c r="D118" s="279" t="s">
        <v>490</v>
      </c>
      <c r="E118" s="281" t="s">
        <v>60</v>
      </c>
      <c r="F118" s="282">
        <v>0.72</v>
      </c>
      <c r="G118" s="293">
        <v>23.9</v>
      </c>
      <c r="H118" s="293">
        <v>17.21</v>
      </c>
    </row>
    <row r="119" spans="1:10" ht="25.95" hidden="1" customHeight="1">
      <c r="A119" s="279" t="s">
        <v>462</v>
      </c>
      <c r="B119" s="280" t="s">
        <v>610</v>
      </c>
      <c r="C119" s="279" t="s">
        <v>23</v>
      </c>
      <c r="D119" s="279" t="s">
        <v>61</v>
      </c>
      <c r="E119" s="281" t="s">
        <v>60</v>
      </c>
      <c r="F119" s="282">
        <v>0.85099999999999998</v>
      </c>
      <c r="G119" s="293">
        <v>18.72</v>
      </c>
      <c r="H119" s="293">
        <v>15.93</v>
      </c>
    </row>
    <row r="120" spans="1:10" ht="25.95" hidden="1" customHeight="1">
      <c r="A120" s="279" t="s">
        <v>462</v>
      </c>
      <c r="B120" s="280">
        <v>92272</v>
      </c>
      <c r="C120" s="279" t="s">
        <v>23</v>
      </c>
      <c r="D120" s="279" t="s">
        <v>614</v>
      </c>
      <c r="E120" s="281" t="s">
        <v>28</v>
      </c>
      <c r="F120" s="282">
        <v>6</v>
      </c>
      <c r="G120" s="293">
        <v>46.74</v>
      </c>
      <c r="H120" s="293">
        <v>280.44</v>
      </c>
    </row>
    <row r="121" spans="1:10" ht="39.6" hidden="1">
      <c r="A121" s="279" t="s">
        <v>465</v>
      </c>
      <c r="B121" s="280" t="s">
        <v>611</v>
      </c>
      <c r="C121" s="279" t="s">
        <v>23</v>
      </c>
      <c r="D121" s="279" t="s">
        <v>612</v>
      </c>
      <c r="E121" s="281" t="s">
        <v>355</v>
      </c>
      <c r="F121" s="282">
        <v>1.1000000000000001</v>
      </c>
      <c r="G121" s="293">
        <v>48.67</v>
      </c>
      <c r="H121" s="293">
        <v>53.54</v>
      </c>
    </row>
    <row r="122" spans="1:10" hidden="1">
      <c r="A122" s="274"/>
      <c r="B122" s="274"/>
      <c r="C122" s="274"/>
      <c r="D122" s="274"/>
      <c r="E122" s="274"/>
      <c r="F122" s="275"/>
      <c r="G122" s="274"/>
      <c r="H122" s="275"/>
    </row>
    <row r="123" spans="1:10" ht="27.6">
      <c r="A123" s="276" t="s">
        <v>605</v>
      </c>
      <c r="B123" s="277" t="s">
        <v>59</v>
      </c>
      <c r="C123" s="276" t="s">
        <v>58</v>
      </c>
      <c r="D123" s="276" t="s">
        <v>74</v>
      </c>
      <c r="E123" s="278" t="s">
        <v>69</v>
      </c>
      <c r="F123" s="277" t="s">
        <v>70</v>
      </c>
      <c r="G123" s="277" t="s">
        <v>67</v>
      </c>
      <c r="H123" s="277" t="s">
        <v>509</v>
      </c>
    </row>
    <row r="124" spans="1:10" s="287" customFormat="1" ht="52.8">
      <c r="A124" s="283" t="s">
        <v>461</v>
      </c>
      <c r="B124" s="284">
        <v>13072041</v>
      </c>
      <c r="C124" s="283" t="s">
        <v>76</v>
      </c>
      <c r="D124" s="283" t="s">
        <v>375</v>
      </c>
      <c r="E124" s="285" t="s">
        <v>28</v>
      </c>
      <c r="F124" s="286"/>
      <c r="G124" s="292"/>
      <c r="H124" s="292">
        <v>1256.7800000000002</v>
      </c>
      <c r="I124" s="110"/>
      <c r="J124" s="110"/>
    </row>
    <row r="125" spans="1:10" ht="25.95" customHeight="1">
      <c r="A125" s="279" t="s">
        <v>462</v>
      </c>
      <c r="B125" s="280">
        <v>88251</v>
      </c>
      <c r="C125" s="279" t="s">
        <v>23</v>
      </c>
      <c r="D125" s="279" t="s">
        <v>499</v>
      </c>
      <c r="E125" s="281" t="s">
        <v>60</v>
      </c>
      <c r="F125" s="282">
        <v>4</v>
      </c>
      <c r="G125" s="293">
        <v>19.09</v>
      </c>
      <c r="H125" s="293">
        <v>76.36</v>
      </c>
    </row>
    <row r="126" spans="1:10" ht="24" customHeight="1">
      <c r="A126" s="279" t="s">
        <v>462</v>
      </c>
      <c r="B126" s="280">
        <v>88315</v>
      </c>
      <c r="C126" s="279" t="s">
        <v>23</v>
      </c>
      <c r="D126" s="279" t="s">
        <v>500</v>
      </c>
      <c r="E126" s="281" t="s">
        <v>60</v>
      </c>
      <c r="F126" s="282">
        <v>6</v>
      </c>
      <c r="G126" s="293">
        <v>23.72</v>
      </c>
      <c r="H126" s="293">
        <v>142.32</v>
      </c>
    </row>
    <row r="127" spans="1:10" ht="39" customHeight="1">
      <c r="A127" s="279" t="s">
        <v>462</v>
      </c>
      <c r="B127" s="280">
        <v>83766</v>
      </c>
      <c r="C127" s="279" t="s">
        <v>23</v>
      </c>
      <c r="D127" s="279" t="s">
        <v>501</v>
      </c>
      <c r="E127" s="281" t="s">
        <v>481</v>
      </c>
      <c r="F127" s="282">
        <v>4.2</v>
      </c>
      <c r="G127" s="293">
        <v>35.51</v>
      </c>
      <c r="H127" s="293">
        <v>149.13999999999999</v>
      </c>
    </row>
    <row r="128" spans="1:10" ht="39" customHeight="1">
      <c r="A128" s="279" t="s">
        <v>462</v>
      </c>
      <c r="B128" s="280">
        <v>83765</v>
      </c>
      <c r="C128" s="279" t="s">
        <v>23</v>
      </c>
      <c r="D128" s="279" t="s">
        <v>502</v>
      </c>
      <c r="E128" s="281" t="s">
        <v>474</v>
      </c>
      <c r="F128" s="282">
        <v>1.8</v>
      </c>
      <c r="G128" s="293">
        <v>99.49</v>
      </c>
      <c r="H128" s="293">
        <v>179.08</v>
      </c>
    </row>
    <row r="129" spans="1:10" ht="25.95" customHeight="1">
      <c r="A129" s="279" t="s">
        <v>465</v>
      </c>
      <c r="B129" s="280">
        <v>1332</v>
      </c>
      <c r="C129" s="279" t="s">
        <v>23</v>
      </c>
      <c r="D129" s="279" t="s">
        <v>503</v>
      </c>
      <c r="E129" s="281" t="s">
        <v>470</v>
      </c>
      <c r="F129" s="282">
        <v>6.25E-2</v>
      </c>
      <c r="G129" s="293">
        <v>9.8800000000000008</v>
      </c>
      <c r="H129" s="293">
        <v>0.62</v>
      </c>
    </row>
    <row r="130" spans="1:10" ht="25.95" customHeight="1">
      <c r="A130" s="279" t="s">
        <v>465</v>
      </c>
      <c r="B130" s="280">
        <v>11002</v>
      </c>
      <c r="C130" s="279" t="s">
        <v>23</v>
      </c>
      <c r="D130" s="279" t="s">
        <v>504</v>
      </c>
      <c r="E130" s="281" t="s">
        <v>470</v>
      </c>
      <c r="F130" s="282">
        <v>6.5000000000000002E-2</v>
      </c>
      <c r="G130" s="293">
        <v>28.21</v>
      </c>
      <c r="H130" s="293">
        <v>1.83</v>
      </c>
    </row>
    <row r="131" spans="1:10" ht="25.95" customHeight="1">
      <c r="A131" s="279" t="s">
        <v>465</v>
      </c>
      <c r="B131" s="280">
        <v>11964</v>
      </c>
      <c r="C131" s="279" t="s">
        <v>23</v>
      </c>
      <c r="D131" s="279" t="s">
        <v>505</v>
      </c>
      <c r="E131" s="281" t="s">
        <v>367</v>
      </c>
      <c r="F131" s="282">
        <v>4</v>
      </c>
      <c r="G131" s="293">
        <v>2.66</v>
      </c>
      <c r="H131" s="293">
        <v>10.64</v>
      </c>
    </row>
    <row r="132" spans="1:10" ht="39" customHeight="1">
      <c r="A132" s="279" t="s">
        <v>465</v>
      </c>
      <c r="B132" s="280">
        <v>21013</v>
      </c>
      <c r="C132" s="279" t="s">
        <v>23</v>
      </c>
      <c r="D132" s="279" t="s">
        <v>506</v>
      </c>
      <c r="E132" s="281" t="s">
        <v>333</v>
      </c>
      <c r="F132" s="282">
        <v>7.5</v>
      </c>
      <c r="G132" s="293">
        <v>75.180000000000007</v>
      </c>
      <c r="H132" s="293">
        <v>563.85</v>
      </c>
    </row>
    <row r="133" spans="1:10" ht="25.95" customHeight="1">
      <c r="A133" s="279" t="s">
        <v>465</v>
      </c>
      <c r="B133" s="280">
        <v>21015</v>
      </c>
      <c r="C133" s="279" t="s">
        <v>23</v>
      </c>
      <c r="D133" s="279" t="s">
        <v>507</v>
      </c>
      <c r="E133" s="281" t="s">
        <v>333</v>
      </c>
      <c r="F133" s="282">
        <v>1.1000000000000001</v>
      </c>
      <c r="G133" s="293">
        <v>120.85</v>
      </c>
      <c r="H133" s="293">
        <v>132.94</v>
      </c>
    </row>
    <row r="134" spans="1:10">
      <c r="A134" s="274"/>
      <c r="B134" s="274"/>
      <c r="C134" s="274"/>
      <c r="D134" s="274"/>
      <c r="E134" s="274"/>
      <c r="F134" s="275"/>
      <c r="G134" s="274"/>
      <c r="H134" s="275"/>
    </row>
    <row r="135" spans="1:10" ht="27.6">
      <c r="A135" s="265" t="s">
        <v>990</v>
      </c>
      <c r="B135" s="266" t="s">
        <v>59</v>
      </c>
      <c r="C135" s="265" t="s">
        <v>58</v>
      </c>
      <c r="D135" s="265" t="s">
        <v>74</v>
      </c>
      <c r="E135" s="556"/>
      <c r="F135" s="556"/>
      <c r="G135" s="267" t="s">
        <v>69</v>
      </c>
      <c r="H135" s="266" t="s">
        <v>70</v>
      </c>
      <c r="I135" s="266" t="s">
        <v>67</v>
      </c>
      <c r="J135" s="277" t="s">
        <v>509</v>
      </c>
    </row>
    <row r="136" spans="1:10" ht="25.95" customHeight="1">
      <c r="A136" s="283" t="s">
        <v>461</v>
      </c>
      <c r="B136" s="284" t="s">
        <v>991</v>
      </c>
      <c r="C136" s="283" t="s">
        <v>76</v>
      </c>
      <c r="D136" s="283" t="s">
        <v>992</v>
      </c>
      <c r="E136" s="557"/>
      <c r="F136" s="558"/>
      <c r="G136" s="285" t="s">
        <v>993</v>
      </c>
      <c r="H136" s="286">
        <v>1</v>
      </c>
      <c r="I136" s="292">
        <v>1.29</v>
      </c>
      <c r="J136" s="292">
        <v>1.29</v>
      </c>
    </row>
    <row r="137" spans="1:10" ht="13.95" customHeight="1">
      <c r="A137" s="488"/>
      <c r="B137" s="488"/>
      <c r="C137" s="488"/>
      <c r="D137" s="488"/>
      <c r="E137" s="488"/>
      <c r="F137" s="488"/>
      <c r="G137" s="488" t="s">
        <v>1049</v>
      </c>
      <c r="H137" s="488"/>
      <c r="I137" s="488"/>
      <c r="J137" s="445">
        <v>0</v>
      </c>
    </row>
    <row r="138" spans="1:10" ht="13.95" customHeight="1">
      <c r="A138" s="488"/>
      <c r="B138" s="488"/>
      <c r="C138" s="488"/>
      <c r="D138" s="488"/>
      <c r="E138" s="488"/>
      <c r="F138" s="488"/>
      <c r="G138" s="488" t="s">
        <v>1050</v>
      </c>
      <c r="H138" s="488"/>
      <c r="I138" s="488"/>
      <c r="J138" s="445">
        <v>0</v>
      </c>
    </row>
    <row r="139" spans="1:10">
      <c r="A139" s="488"/>
      <c r="B139" s="488"/>
      <c r="C139" s="488"/>
      <c r="D139" s="488"/>
      <c r="E139" s="488"/>
      <c r="F139" s="488"/>
      <c r="G139" s="488" t="s">
        <v>1051</v>
      </c>
      <c r="H139" s="488"/>
      <c r="I139" s="488"/>
      <c r="J139" s="445">
        <v>0</v>
      </c>
    </row>
    <row r="140" spans="1:10" ht="13.95" customHeight="1">
      <c r="A140" s="488"/>
      <c r="B140" s="488"/>
      <c r="C140" s="488"/>
      <c r="D140" s="488"/>
      <c r="E140" s="488"/>
      <c r="F140" s="488"/>
      <c r="G140" s="488" t="s">
        <v>1052</v>
      </c>
      <c r="H140" s="488"/>
      <c r="I140" s="488"/>
      <c r="J140" s="445">
        <v>220</v>
      </c>
    </row>
    <row r="141" spans="1:10" ht="13.95" customHeight="1">
      <c r="A141" s="488"/>
      <c r="B141" s="488"/>
      <c r="C141" s="488"/>
      <c r="D141" s="488"/>
      <c r="E141" s="488"/>
      <c r="F141" s="488"/>
      <c r="G141" s="488" t="s">
        <v>1053</v>
      </c>
      <c r="H141" s="488"/>
      <c r="I141" s="488"/>
      <c r="J141" s="445">
        <v>0</v>
      </c>
    </row>
    <row r="142" spans="1:10">
      <c r="A142" s="265" t="s">
        <v>83</v>
      </c>
      <c r="B142" s="266" t="s">
        <v>58</v>
      </c>
      <c r="C142" s="265" t="s">
        <v>59</v>
      </c>
      <c r="D142" s="265" t="s">
        <v>84</v>
      </c>
      <c r="E142" s="266" t="s">
        <v>1054</v>
      </c>
      <c r="F142" s="266" t="s">
        <v>1055</v>
      </c>
      <c r="G142" s="565" t="s">
        <v>1056</v>
      </c>
      <c r="H142" s="565"/>
      <c r="I142" s="565"/>
      <c r="J142" s="266" t="s">
        <v>78</v>
      </c>
    </row>
    <row r="143" spans="1:10" ht="52.8">
      <c r="A143" s="279" t="s">
        <v>496</v>
      </c>
      <c r="B143" s="280" t="s">
        <v>23</v>
      </c>
      <c r="C143" s="279">
        <v>73467</v>
      </c>
      <c r="D143" s="279" t="s">
        <v>1057</v>
      </c>
      <c r="E143" s="282">
        <v>4.5450000000000004E-3</v>
      </c>
      <c r="F143" s="281" t="s">
        <v>474</v>
      </c>
      <c r="G143" s="566">
        <v>245.77</v>
      </c>
      <c r="H143" s="566"/>
      <c r="I143" s="567"/>
      <c r="J143" s="293">
        <v>1.1200000000000001</v>
      </c>
    </row>
    <row r="144" spans="1:10" ht="26.4">
      <c r="A144" s="279" t="s">
        <v>496</v>
      </c>
      <c r="B144" s="280" t="s">
        <v>23</v>
      </c>
      <c r="C144" s="279">
        <v>88316</v>
      </c>
      <c r="D144" s="279" t="s">
        <v>61</v>
      </c>
      <c r="E144" s="282">
        <v>9.1000000000000004E-3</v>
      </c>
      <c r="F144" s="281" t="s">
        <v>60</v>
      </c>
      <c r="G144" s="566">
        <v>18.72</v>
      </c>
      <c r="H144" s="566"/>
      <c r="I144" s="567"/>
      <c r="J144" s="293">
        <v>0.17</v>
      </c>
    </row>
    <row r="145" spans="1:10" ht="13.95" customHeight="1">
      <c r="A145" s="488"/>
      <c r="B145" s="488"/>
      <c r="C145" s="488"/>
      <c r="D145" s="488"/>
      <c r="E145" s="488"/>
      <c r="F145" s="488"/>
      <c r="G145" s="488" t="s">
        <v>497</v>
      </c>
      <c r="H145" s="488"/>
      <c r="I145" s="488"/>
      <c r="J145" s="445">
        <v>1.29</v>
      </c>
    </row>
    <row r="146" spans="1:10" ht="23.4" customHeight="1"/>
    <row r="147" spans="1:10">
      <c r="A147" s="265" t="s">
        <v>995</v>
      </c>
      <c r="B147" s="266" t="s">
        <v>59</v>
      </c>
      <c r="C147" s="265" t="s">
        <v>58</v>
      </c>
      <c r="D147" s="265" t="s">
        <v>74</v>
      </c>
      <c r="E147" s="556" t="s">
        <v>1048</v>
      </c>
      <c r="F147" s="556"/>
      <c r="G147" s="267" t="s">
        <v>69</v>
      </c>
      <c r="H147" s="266" t="s">
        <v>70</v>
      </c>
      <c r="I147" s="266" t="s">
        <v>67</v>
      </c>
      <c r="J147" s="266" t="s">
        <v>71</v>
      </c>
    </row>
    <row r="148" spans="1:10" ht="25.95" customHeight="1">
      <c r="A148" s="283" t="s">
        <v>461</v>
      </c>
      <c r="B148" s="284" t="s">
        <v>996</v>
      </c>
      <c r="C148" s="283" t="s">
        <v>76</v>
      </c>
      <c r="D148" s="283" t="s">
        <v>997</v>
      </c>
      <c r="E148" s="569" t="s">
        <v>1058</v>
      </c>
      <c r="F148" s="569"/>
      <c r="G148" s="285" t="s">
        <v>28</v>
      </c>
      <c r="H148" s="286">
        <v>1</v>
      </c>
      <c r="I148" s="292">
        <v>293.68</v>
      </c>
      <c r="J148" s="292">
        <v>293.68</v>
      </c>
    </row>
    <row r="149" spans="1:10" ht="26.4">
      <c r="A149" s="279" t="s">
        <v>462</v>
      </c>
      <c r="B149" s="280" t="s">
        <v>1059</v>
      </c>
      <c r="C149" s="279" t="s">
        <v>599</v>
      </c>
      <c r="D149" s="279" t="s">
        <v>1060</v>
      </c>
      <c r="E149" s="568" t="s">
        <v>1061</v>
      </c>
      <c r="F149" s="568"/>
      <c r="G149" s="281" t="s">
        <v>364</v>
      </c>
      <c r="H149" s="282">
        <v>0.09</v>
      </c>
      <c r="I149" s="449">
        <v>3016.87</v>
      </c>
      <c r="J149" s="449">
        <v>271.52</v>
      </c>
    </row>
    <row r="150" spans="1:10">
      <c r="A150" s="279" t="s">
        <v>465</v>
      </c>
      <c r="B150" s="280" t="s">
        <v>1062</v>
      </c>
      <c r="C150" s="279" t="s">
        <v>15</v>
      </c>
      <c r="D150" s="279" t="s">
        <v>1063</v>
      </c>
      <c r="E150" s="568" t="s">
        <v>1064</v>
      </c>
      <c r="F150" s="568"/>
      <c r="G150" s="281" t="s">
        <v>367</v>
      </c>
      <c r="H150" s="282">
        <v>0.13</v>
      </c>
      <c r="I150" s="449">
        <v>54.794899999999998</v>
      </c>
      <c r="J150" s="449">
        <v>7.12</v>
      </c>
    </row>
    <row r="151" spans="1:10">
      <c r="A151" s="279" t="s">
        <v>465</v>
      </c>
      <c r="B151" s="280" t="s">
        <v>1065</v>
      </c>
      <c r="C151" s="279" t="s">
        <v>15</v>
      </c>
      <c r="D151" s="279" t="s">
        <v>342</v>
      </c>
      <c r="E151" s="568" t="s">
        <v>1064</v>
      </c>
      <c r="F151" s="568"/>
      <c r="G151" s="281" t="s">
        <v>367</v>
      </c>
      <c r="H151" s="282">
        <v>0.13</v>
      </c>
      <c r="I151" s="449">
        <v>83.447900000000004</v>
      </c>
      <c r="J151" s="449">
        <v>10.85</v>
      </c>
    </row>
    <row r="152" spans="1:10">
      <c r="A152" s="279" t="s">
        <v>465</v>
      </c>
      <c r="B152" s="280" t="s">
        <v>1066</v>
      </c>
      <c r="C152" s="279" t="s">
        <v>15</v>
      </c>
      <c r="D152" s="279" t="s">
        <v>1067</v>
      </c>
      <c r="E152" s="568" t="s">
        <v>1064</v>
      </c>
      <c r="F152" s="568"/>
      <c r="G152" s="281" t="s">
        <v>367</v>
      </c>
      <c r="H152" s="282">
        <v>0.13</v>
      </c>
      <c r="I152" s="449">
        <v>32.220599999999997</v>
      </c>
      <c r="J152" s="449">
        <v>4.1900000000000004</v>
      </c>
    </row>
    <row r="153" spans="1:10" ht="32.4" customHeight="1">
      <c r="A153" s="446"/>
      <c r="B153" s="446"/>
      <c r="C153" s="446"/>
      <c r="D153" s="446"/>
      <c r="E153" s="446"/>
      <c r="F153" s="447"/>
      <c r="G153" s="446"/>
      <c r="H153" s="447"/>
      <c r="I153" s="446"/>
      <c r="J153" s="447"/>
    </row>
    <row r="154" spans="1:10" ht="26.4" customHeight="1">
      <c r="A154" s="265" t="s">
        <v>998</v>
      </c>
      <c r="B154" s="266" t="s">
        <v>59</v>
      </c>
      <c r="C154" s="265" t="s">
        <v>58</v>
      </c>
      <c r="D154" s="265" t="s">
        <v>74</v>
      </c>
      <c r="E154" s="556" t="s">
        <v>1048</v>
      </c>
      <c r="F154" s="556"/>
      <c r="G154" s="267" t="s">
        <v>69</v>
      </c>
      <c r="H154" s="266" t="s">
        <v>70</v>
      </c>
      <c r="I154" s="266" t="s">
        <v>67</v>
      </c>
      <c r="J154" s="266" t="s">
        <v>71</v>
      </c>
    </row>
    <row r="155" spans="1:10" ht="25.95" customHeight="1">
      <c r="A155" s="283" t="s">
        <v>461</v>
      </c>
      <c r="B155" s="284" t="s">
        <v>999</v>
      </c>
      <c r="C155" s="283" t="s">
        <v>76</v>
      </c>
      <c r="D155" s="283" t="s">
        <v>1000</v>
      </c>
      <c r="E155" s="569" t="s">
        <v>1058</v>
      </c>
      <c r="F155" s="569"/>
      <c r="G155" s="285" t="s">
        <v>28</v>
      </c>
      <c r="H155" s="286">
        <v>1</v>
      </c>
      <c r="I155" s="292">
        <v>64.53</v>
      </c>
      <c r="J155" s="292">
        <v>64.53</v>
      </c>
    </row>
    <row r="156" spans="1:10" ht="26.4">
      <c r="A156" s="279" t="s">
        <v>462</v>
      </c>
      <c r="B156" s="280" t="s">
        <v>1059</v>
      </c>
      <c r="C156" s="279" t="s">
        <v>599</v>
      </c>
      <c r="D156" s="279" t="s">
        <v>1060</v>
      </c>
      <c r="E156" s="568" t="s">
        <v>1061</v>
      </c>
      <c r="F156" s="568"/>
      <c r="G156" s="281" t="s">
        <v>364</v>
      </c>
      <c r="H156" s="282">
        <v>0.02</v>
      </c>
      <c r="I156" s="449">
        <v>3016.87</v>
      </c>
      <c r="J156" s="449">
        <v>60.34</v>
      </c>
    </row>
    <row r="157" spans="1:10">
      <c r="A157" s="279" t="s">
        <v>465</v>
      </c>
      <c r="B157" s="280" t="s">
        <v>1066</v>
      </c>
      <c r="C157" s="279" t="s">
        <v>15</v>
      </c>
      <c r="D157" s="279" t="s">
        <v>1067</v>
      </c>
      <c r="E157" s="568" t="s">
        <v>1064</v>
      </c>
      <c r="F157" s="568"/>
      <c r="G157" s="281" t="s">
        <v>367</v>
      </c>
      <c r="H157" s="282">
        <v>0.13</v>
      </c>
      <c r="I157" s="449">
        <v>32.220599999999997</v>
      </c>
      <c r="J157" s="449">
        <v>4.1900000000000004</v>
      </c>
    </row>
    <row r="158" spans="1:10" ht="33" customHeight="1">
      <c r="A158" s="446"/>
      <c r="B158" s="446"/>
      <c r="C158" s="446"/>
      <c r="D158" s="446"/>
      <c r="E158" s="446"/>
      <c r="F158" s="447"/>
      <c r="G158" s="446"/>
      <c r="H158" s="447"/>
      <c r="I158" s="446"/>
      <c r="J158" s="447"/>
    </row>
    <row r="159" spans="1:10" ht="25.2" customHeight="1">
      <c r="A159" s="265" t="s">
        <v>1001</v>
      </c>
      <c r="B159" s="266" t="s">
        <v>59</v>
      </c>
      <c r="C159" s="265" t="s">
        <v>58</v>
      </c>
      <c r="D159" s="265" t="s">
        <v>74</v>
      </c>
      <c r="E159" s="556" t="s">
        <v>1048</v>
      </c>
      <c r="F159" s="556"/>
      <c r="G159" s="267" t="s">
        <v>69</v>
      </c>
      <c r="H159" s="266" t="s">
        <v>70</v>
      </c>
      <c r="I159" s="266" t="s">
        <v>67</v>
      </c>
      <c r="J159" s="266" t="s">
        <v>71</v>
      </c>
    </row>
    <row r="160" spans="1:10" ht="25.95" customHeight="1">
      <c r="A160" s="283" t="s">
        <v>461</v>
      </c>
      <c r="B160" s="284" t="s">
        <v>1002</v>
      </c>
      <c r="C160" s="283" t="s">
        <v>76</v>
      </c>
      <c r="D160" s="283" t="s">
        <v>1003</v>
      </c>
      <c r="E160" s="569" t="s">
        <v>1058</v>
      </c>
      <c r="F160" s="569"/>
      <c r="G160" s="285" t="s">
        <v>273</v>
      </c>
      <c r="H160" s="286">
        <v>1</v>
      </c>
      <c r="I160" s="292">
        <v>6.91</v>
      </c>
      <c r="J160" s="292">
        <v>6.91</v>
      </c>
    </row>
    <row r="161" spans="1:10" ht="27.6" customHeight="1">
      <c r="A161" s="265" t="s">
        <v>79</v>
      </c>
      <c r="B161" s="266" t="s">
        <v>59</v>
      </c>
      <c r="C161" s="265" t="s">
        <v>58</v>
      </c>
      <c r="D161" s="265" t="s">
        <v>1068</v>
      </c>
      <c r="E161" s="266" t="s">
        <v>1054</v>
      </c>
      <c r="F161" s="565" t="s">
        <v>1069</v>
      </c>
      <c r="G161" s="565"/>
      <c r="H161" s="565"/>
      <c r="I161" s="565"/>
      <c r="J161" s="266" t="s">
        <v>78</v>
      </c>
    </row>
    <row r="162" spans="1:10" ht="14.4" customHeight="1">
      <c r="A162" s="279" t="s">
        <v>465</v>
      </c>
      <c r="B162" s="280" t="s">
        <v>1070</v>
      </c>
      <c r="C162" s="279" t="s">
        <v>1071</v>
      </c>
      <c r="D162" s="279" t="s">
        <v>1072</v>
      </c>
      <c r="E162" s="282">
        <v>7.0000000000000007E-2</v>
      </c>
      <c r="F162" s="279"/>
      <c r="G162" s="576">
        <v>14.992900000000001</v>
      </c>
      <c r="H162" s="577"/>
      <c r="I162" s="578"/>
      <c r="J162" s="293">
        <v>1.05</v>
      </c>
    </row>
    <row r="163" spans="1:10" ht="14.4" customHeight="1">
      <c r="A163" s="279" t="s">
        <v>465</v>
      </c>
      <c r="B163" s="280" t="s">
        <v>1073</v>
      </c>
      <c r="C163" s="279" t="s">
        <v>1071</v>
      </c>
      <c r="D163" s="279" t="s">
        <v>1074</v>
      </c>
      <c r="E163" s="282">
        <v>7.0000000000000007E-2</v>
      </c>
      <c r="F163" s="279"/>
      <c r="G163" s="572">
        <v>9.6196999999999999</v>
      </c>
      <c r="H163" s="573"/>
      <c r="I163" s="574"/>
      <c r="J163" s="293">
        <v>0.67</v>
      </c>
    </row>
    <row r="164" spans="1:10" ht="14.4" customHeight="1">
      <c r="A164" s="279" t="s">
        <v>465</v>
      </c>
      <c r="B164" s="280" t="s">
        <v>1075</v>
      </c>
      <c r="C164" s="279" t="s">
        <v>1071</v>
      </c>
      <c r="D164" s="279" t="s">
        <v>322</v>
      </c>
      <c r="E164" s="282">
        <v>7.0000000000000007E-2</v>
      </c>
      <c r="F164" s="279"/>
      <c r="G164" s="572">
        <v>29.465800000000002</v>
      </c>
      <c r="H164" s="573"/>
      <c r="I164" s="574"/>
      <c r="J164" s="293">
        <v>2.06</v>
      </c>
    </row>
    <row r="165" spans="1:10">
      <c r="A165" s="488"/>
      <c r="B165" s="488"/>
      <c r="C165" s="488"/>
      <c r="D165" s="488"/>
      <c r="E165" s="488"/>
      <c r="F165" s="488"/>
      <c r="G165" s="488" t="s">
        <v>1076</v>
      </c>
      <c r="H165" s="488"/>
      <c r="I165" s="488"/>
      <c r="J165" s="445">
        <v>3.7800000000000002</v>
      </c>
    </row>
    <row r="166" spans="1:10">
      <c r="A166" s="488"/>
      <c r="B166" s="488"/>
      <c r="C166" s="488"/>
      <c r="D166" s="488"/>
      <c r="E166" s="488"/>
      <c r="F166" s="488"/>
      <c r="G166" s="488" t="s">
        <v>1049</v>
      </c>
      <c r="H166" s="488"/>
      <c r="I166" s="488"/>
      <c r="J166" s="445">
        <v>3.7800000000000002</v>
      </c>
    </row>
    <row r="167" spans="1:10">
      <c r="A167" s="488"/>
      <c r="B167" s="488"/>
      <c r="C167" s="488"/>
      <c r="D167" s="488"/>
      <c r="E167" s="488"/>
      <c r="F167" s="488"/>
      <c r="G167" s="488" t="s">
        <v>1050</v>
      </c>
      <c r="H167" s="488"/>
      <c r="I167" s="488"/>
      <c r="J167" s="445">
        <v>0</v>
      </c>
    </row>
    <row r="168" spans="1:10">
      <c r="A168" s="488"/>
      <c r="B168" s="488"/>
      <c r="C168" s="488"/>
      <c r="D168" s="488"/>
      <c r="E168" s="488"/>
      <c r="F168" s="488"/>
      <c r="G168" s="488" t="s">
        <v>1051</v>
      </c>
      <c r="H168" s="488"/>
      <c r="I168" s="488"/>
      <c r="J168" s="445">
        <v>0</v>
      </c>
    </row>
    <row r="169" spans="1:10">
      <c r="A169" s="488"/>
      <c r="B169" s="488"/>
      <c r="C169" s="488"/>
      <c r="D169" s="488"/>
      <c r="E169" s="488"/>
      <c r="F169" s="488"/>
      <c r="G169" s="488" t="s">
        <v>1052</v>
      </c>
      <c r="H169" s="488"/>
      <c r="I169" s="488"/>
      <c r="J169" s="445">
        <v>1</v>
      </c>
    </row>
    <row r="170" spans="1:10">
      <c r="A170" s="570"/>
      <c r="B170" s="570"/>
      <c r="C170" s="570"/>
      <c r="D170" s="570"/>
      <c r="E170" s="570"/>
      <c r="F170" s="570"/>
      <c r="G170" s="570" t="s">
        <v>1053</v>
      </c>
      <c r="H170" s="570"/>
      <c r="I170" s="570"/>
      <c r="J170" s="445">
        <v>3.7800000000000002</v>
      </c>
    </row>
    <row r="171" spans="1:10" ht="29.4" customHeight="1">
      <c r="A171" s="265" t="s">
        <v>80</v>
      </c>
      <c r="B171" s="266" t="s">
        <v>58</v>
      </c>
      <c r="C171" s="265" t="s">
        <v>59</v>
      </c>
      <c r="D171" s="265" t="s">
        <v>1077</v>
      </c>
      <c r="E171" s="266" t="s">
        <v>1054</v>
      </c>
      <c r="F171" s="266" t="s">
        <v>1055</v>
      </c>
      <c r="G171" s="565" t="s">
        <v>1056</v>
      </c>
      <c r="H171" s="565"/>
      <c r="I171" s="565"/>
      <c r="J171" s="266" t="s">
        <v>78</v>
      </c>
    </row>
    <row r="172" spans="1:10" ht="28.2" customHeight="1">
      <c r="A172" s="279" t="s">
        <v>465</v>
      </c>
      <c r="B172" s="280" t="s">
        <v>1071</v>
      </c>
      <c r="C172" s="279" t="s">
        <v>1078</v>
      </c>
      <c r="D172" s="279" t="s">
        <v>1079</v>
      </c>
      <c r="E172" s="282">
        <v>1</v>
      </c>
      <c r="F172" s="281" t="s">
        <v>273</v>
      </c>
      <c r="G172" s="566">
        <v>3.13</v>
      </c>
      <c r="H172" s="566"/>
      <c r="I172" s="567"/>
      <c r="J172" s="293">
        <v>3.13</v>
      </c>
    </row>
    <row r="173" spans="1:10">
      <c r="A173" s="571"/>
      <c r="B173" s="571"/>
      <c r="C173" s="571"/>
      <c r="D173" s="571"/>
      <c r="E173" s="571"/>
      <c r="F173" s="571"/>
      <c r="G173" s="571" t="s">
        <v>495</v>
      </c>
      <c r="H173" s="571"/>
      <c r="I173" s="571"/>
      <c r="J173" s="445">
        <v>3.13</v>
      </c>
    </row>
    <row r="174" spans="1:10" ht="28.2" customHeight="1">
      <c r="A174" s="446"/>
      <c r="B174" s="446"/>
      <c r="C174" s="446"/>
      <c r="D174" s="446"/>
      <c r="E174" s="446"/>
      <c r="F174" s="447"/>
      <c r="G174" s="446"/>
      <c r="H174" s="447"/>
      <c r="I174" s="446"/>
      <c r="J174" s="447"/>
    </row>
    <row r="175" spans="1:10" ht="26.4" customHeight="1">
      <c r="A175" s="265" t="s">
        <v>1005</v>
      </c>
      <c r="B175" s="266" t="s">
        <v>59</v>
      </c>
      <c r="C175" s="265" t="s">
        <v>58</v>
      </c>
      <c r="D175" s="265" t="s">
        <v>74</v>
      </c>
      <c r="E175" s="556" t="s">
        <v>1048</v>
      </c>
      <c r="F175" s="556"/>
      <c r="G175" s="267" t="s">
        <v>69</v>
      </c>
      <c r="H175" s="266" t="s">
        <v>70</v>
      </c>
      <c r="I175" s="266" t="s">
        <v>67</v>
      </c>
      <c r="J175" s="266" t="s">
        <v>71</v>
      </c>
    </row>
    <row r="176" spans="1:10" ht="25.95" customHeight="1">
      <c r="A176" s="283" t="s">
        <v>461</v>
      </c>
      <c r="B176" s="284" t="s">
        <v>1006</v>
      </c>
      <c r="C176" s="283" t="s">
        <v>76</v>
      </c>
      <c r="D176" s="283" t="s">
        <v>1007</v>
      </c>
      <c r="E176" s="569" t="s">
        <v>1058</v>
      </c>
      <c r="F176" s="569"/>
      <c r="G176" s="285" t="s">
        <v>28</v>
      </c>
      <c r="H176" s="286">
        <v>1</v>
      </c>
      <c r="I176" s="292">
        <v>286.56</v>
      </c>
      <c r="J176" s="292">
        <v>286.56</v>
      </c>
    </row>
    <row r="177" spans="1:10" ht="26.4">
      <c r="A177" s="279" t="s">
        <v>462</v>
      </c>
      <c r="B177" s="280" t="s">
        <v>1059</v>
      </c>
      <c r="C177" s="279" t="s">
        <v>599</v>
      </c>
      <c r="D177" s="279" t="s">
        <v>1060</v>
      </c>
      <c r="E177" s="568" t="s">
        <v>1061</v>
      </c>
      <c r="F177" s="568"/>
      <c r="G177" s="281" t="s">
        <v>364</v>
      </c>
      <c r="H177" s="282">
        <v>0.09</v>
      </c>
      <c r="I177" s="449">
        <v>3016.87</v>
      </c>
      <c r="J177" s="449">
        <v>271.52</v>
      </c>
    </row>
    <row r="178" spans="1:10">
      <c r="A178" s="279" t="s">
        <v>465</v>
      </c>
      <c r="B178" s="280" t="s">
        <v>1065</v>
      </c>
      <c r="C178" s="279" t="s">
        <v>15</v>
      </c>
      <c r="D178" s="279" t="s">
        <v>342</v>
      </c>
      <c r="E178" s="568" t="s">
        <v>1064</v>
      </c>
      <c r="F178" s="568"/>
      <c r="G178" s="281" t="s">
        <v>367</v>
      </c>
      <c r="H178" s="282">
        <v>0.13</v>
      </c>
      <c r="I178" s="449">
        <v>83.447900000000004</v>
      </c>
      <c r="J178" s="449">
        <v>10.85</v>
      </c>
    </row>
    <row r="179" spans="1:10">
      <c r="A179" s="279" t="s">
        <v>465</v>
      </c>
      <c r="B179" s="280" t="s">
        <v>1066</v>
      </c>
      <c r="C179" s="279" t="s">
        <v>15</v>
      </c>
      <c r="D179" s="279" t="s">
        <v>1067</v>
      </c>
      <c r="E179" s="568" t="s">
        <v>1064</v>
      </c>
      <c r="F179" s="568"/>
      <c r="G179" s="281" t="s">
        <v>367</v>
      </c>
      <c r="H179" s="282">
        <v>0.13</v>
      </c>
      <c r="I179" s="449">
        <v>32.220599999999997</v>
      </c>
      <c r="J179" s="449">
        <v>4.1900000000000004</v>
      </c>
    </row>
    <row r="180" spans="1:10" ht="37.200000000000003" customHeight="1">
      <c r="A180" s="446"/>
      <c r="B180" s="446"/>
      <c r="C180" s="446"/>
      <c r="D180" s="446"/>
      <c r="E180" s="446"/>
      <c r="F180" s="447"/>
      <c r="G180" s="446"/>
      <c r="H180" s="447"/>
      <c r="I180" s="446"/>
      <c r="J180" s="447"/>
    </row>
    <row r="181" spans="1:10" ht="26.4" customHeight="1">
      <c r="A181" s="265" t="s">
        <v>1008</v>
      </c>
      <c r="B181" s="266" t="s">
        <v>59</v>
      </c>
      <c r="C181" s="265" t="s">
        <v>58</v>
      </c>
      <c r="D181" s="265" t="s">
        <v>74</v>
      </c>
      <c r="E181" s="556" t="s">
        <v>1048</v>
      </c>
      <c r="F181" s="556"/>
      <c r="G181" s="267" t="s">
        <v>69</v>
      </c>
      <c r="H181" s="266" t="s">
        <v>70</v>
      </c>
      <c r="I181" s="266" t="s">
        <v>67</v>
      </c>
      <c r="J181" s="266" t="s">
        <v>71</v>
      </c>
    </row>
    <row r="182" spans="1:10" ht="25.95" customHeight="1">
      <c r="A182" s="283" t="s">
        <v>461</v>
      </c>
      <c r="B182" s="284" t="s">
        <v>1009</v>
      </c>
      <c r="C182" s="283" t="s">
        <v>76</v>
      </c>
      <c r="D182" s="283" t="s">
        <v>1010</v>
      </c>
      <c r="E182" s="569" t="s">
        <v>1058</v>
      </c>
      <c r="F182" s="569"/>
      <c r="G182" s="285" t="s">
        <v>28</v>
      </c>
      <c r="H182" s="286">
        <v>1</v>
      </c>
      <c r="I182" s="292">
        <v>64.53</v>
      </c>
      <c r="J182" s="292">
        <v>64.53</v>
      </c>
    </row>
    <row r="183" spans="1:10" ht="26.4">
      <c r="A183" s="279" t="s">
        <v>462</v>
      </c>
      <c r="B183" s="280" t="s">
        <v>1059</v>
      </c>
      <c r="C183" s="279" t="s">
        <v>599</v>
      </c>
      <c r="D183" s="279" t="s">
        <v>1060</v>
      </c>
      <c r="E183" s="568" t="s">
        <v>1061</v>
      </c>
      <c r="F183" s="568"/>
      <c r="G183" s="281" t="s">
        <v>364</v>
      </c>
      <c r="H183" s="282">
        <v>0.02</v>
      </c>
      <c r="I183" s="449">
        <v>3016.87</v>
      </c>
      <c r="J183" s="449">
        <v>60.34</v>
      </c>
    </row>
    <row r="184" spans="1:10">
      <c r="A184" s="279" t="s">
        <v>465</v>
      </c>
      <c r="B184" s="280" t="s">
        <v>1066</v>
      </c>
      <c r="C184" s="279" t="s">
        <v>15</v>
      </c>
      <c r="D184" s="279" t="s">
        <v>1067</v>
      </c>
      <c r="E184" s="568" t="s">
        <v>1064</v>
      </c>
      <c r="F184" s="568"/>
      <c r="G184" s="281" t="s">
        <v>367</v>
      </c>
      <c r="H184" s="282">
        <v>0.13</v>
      </c>
      <c r="I184" s="449">
        <v>32.220599999999997</v>
      </c>
      <c r="J184" s="449">
        <v>4.1900000000000004</v>
      </c>
    </row>
    <row r="185" spans="1:10" ht="39" customHeight="1">
      <c r="A185" s="446"/>
      <c r="B185" s="446"/>
      <c r="C185" s="446"/>
      <c r="D185" s="446"/>
      <c r="E185" s="446"/>
      <c r="F185" s="447"/>
      <c r="G185" s="446"/>
      <c r="H185" s="447"/>
      <c r="I185" s="446"/>
      <c r="J185" s="447"/>
    </row>
    <row r="186" spans="1:10" ht="26.4" customHeight="1">
      <c r="A186" s="265" t="s">
        <v>1011</v>
      </c>
      <c r="B186" s="266" t="s">
        <v>59</v>
      </c>
      <c r="C186" s="265" t="s">
        <v>58</v>
      </c>
      <c r="D186" s="265" t="s">
        <v>74</v>
      </c>
      <c r="E186" s="556" t="s">
        <v>1048</v>
      </c>
      <c r="F186" s="556"/>
      <c r="G186" s="267" t="s">
        <v>69</v>
      </c>
      <c r="H186" s="266" t="s">
        <v>70</v>
      </c>
      <c r="I186" s="266" t="s">
        <v>67</v>
      </c>
      <c r="J186" s="266" t="s">
        <v>71</v>
      </c>
    </row>
    <row r="187" spans="1:10" ht="25.95" customHeight="1">
      <c r="A187" s="283" t="s">
        <v>461</v>
      </c>
      <c r="B187" s="284" t="s">
        <v>1012</v>
      </c>
      <c r="C187" s="283" t="s">
        <v>76</v>
      </c>
      <c r="D187" s="283" t="s">
        <v>1013</v>
      </c>
      <c r="E187" s="569" t="s">
        <v>1058</v>
      </c>
      <c r="F187" s="569"/>
      <c r="G187" s="285" t="s">
        <v>28</v>
      </c>
      <c r="H187" s="286">
        <v>1</v>
      </c>
      <c r="I187" s="292">
        <v>286.56</v>
      </c>
      <c r="J187" s="292">
        <v>286.56</v>
      </c>
    </row>
    <row r="188" spans="1:10" ht="26.4">
      <c r="A188" s="279" t="s">
        <v>462</v>
      </c>
      <c r="B188" s="280" t="s">
        <v>1059</v>
      </c>
      <c r="C188" s="279" t="s">
        <v>599</v>
      </c>
      <c r="D188" s="279" t="s">
        <v>1060</v>
      </c>
      <c r="E188" s="568" t="s">
        <v>1061</v>
      </c>
      <c r="F188" s="568"/>
      <c r="G188" s="281" t="s">
        <v>364</v>
      </c>
      <c r="H188" s="282">
        <v>0.09</v>
      </c>
      <c r="I188" s="449">
        <v>3016.87</v>
      </c>
      <c r="J188" s="449">
        <v>271.52</v>
      </c>
    </row>
    <row r="189" spans="1:10">
      <c r="A189" s="279" t="s">
        <v>465</v>
      </c>
      <c r="B189" s="280" t="s">
        <v>1065</v>
      </c>
      <c r="C189" s="279" t="s">
        <v>15</v>
      </c>
      <c r="D189" s="279" t="s">
        <v>342</v>
      </c>
      <c r="E189" s="568" t="s">
        <v>1064</v>
      </c>
      <c r="F189" s="568"/>
      <c r="G189" s="281" t="s">
        <v>367</v>
      </c>
      <c r="H189" s="282">
        <v>0.13</v>
      </c>
      <c r="I189" s="449">
        <v>83.447900000000004</v>
      </c>
      <c r="J189" s="449">
        <v>10.85</v>
      </c>
    </row>
    <row r="190" spans="1:10">
      <c r="A190" s="279" t="s">
        <v>465</v>
      </c>
      <c r="B190" s="280" t="s">
        <v>1066</v>
      </c>
      <c r="C190" s="279" t="s">
        <v>15</v>
      </c>
      <c r="D190" s="279" t="s">
        <v>1067</v>
      </c>
      <c r="E190" s="568" t="s">
        <v>1064</v>
      </c>
      <c r="F190" s="568"/>
      <c r="G190" s="281" t="s">
        <v>367</v>
      </c>
      <c r="H190" s="282">
        <v>0.13</v>
      </c>
      <c r="I190" s="449">
        <v>32.220599999999997</v>
      </c>
      <c r="J190" s="449">
        <v>4.1900000000000004</v>
      </c>
    </row>
    <row r="191" spans="1:10" ht="38.4" customHeight="1">
      <c r="A191" s="446"/>
      <c r="B191" s="446"/>
      <c r="C191" s="446"/>
      <c r="D191" s="446"/>
      <c r="E191" s="446"/>
      <c r="F191" s="447"/>
      <c r="G191" s="446"/>
      <c r="H191" s="447"/>
      <c r="I191" s="446"/>
      <c r="J191" s="447"/>
    </row>
    <row r="192" spans="1:10" ht="26.4" customHeight="1">
      <c r="A192" s="265" t="s">
        <v>1014</v>
      </c>
      <c r="B192" s="266" t="s">
        <v>59</v>
      </c>
      <c r="C192" s="265" t="s">
        <v>58</v>
      </c>
      <c r="D192" s="265" t="s">
        <v>74</v>
      </c>
      <c r="E192" s="556" t="s">
        <v>1048</v>
      </c>
      <c r="F192" s="556"/>
      <c r="G192" s="267" t="s">
        <v>69</v>
      </c>
      <c r="H192" s="266" t="s">
        <v>70</v>
      </c>
      <c r="I192" s="266" t="s">
        <v>67</v>
      </c>
      <c r="J192" s="266" t="s">
        <v>71</v>
      </c>
    </row>
    <row r="193" spans="1:10" ht="25.95" customHeight="1">
      <c r="A193" s="283" t="s">
        <v>461</v>
      </c>
      <c r="B193" s="284" t="s">
        <v>1015</v>
      </c>
      <c r="C193" s="283" t="s">
        <v>76</v>
      </c>
      <c r="D193" s="283" t="s">
        <v>1016</v>
      </c>
      <c r="E193" s="569" t="s">
        <v>1058</v>
      </c>
      <c r="F193" s="569"/>
      <c r="G193" s="285" t="s">
        <v>28</v>
      </c>
      <c r="H193" s="286">
        <v>1</v>
      </c>
      <c r="I193" s="292">
        <v>286.56</v>
      </c>
      <c r="J193" s="292">
        <v>286.56</v>
      </c>
    </row>
    <row r="194" spans="1:10" ht="26.4">
      <c r="A194" s="279" t="s">
        <v>462</v>
      </c>
      <c r="B194" s="280" t="s">
        <v>1059</v>
      </c>
      <c r="C194" s="279" t="s">
        <v>599</v>
      </c>
      <c r="D194" s="279" t="s">
        <v>1060</v>
      </c>
      <c r="E194" s="568" t="s">
        <v>1061</v>
      </c>
      <c r="F194" s="568"/>
      <c r="G194" s="281" t="s">
        <v>364</v>
      </c>
      <c r="H194" s="282">
        <v>0.09</v>
      </c>
      <c r="I194" s="449">
        <v>3016.87</v>
      </c>
      <c r="J194" s="449">
        <v>271.52</v>
      </c>
    </row>
    <row r="195" spans="1:10">
      <c r="A195" s="279" t="s">
        <v>465</v>
      </c>
      <c r="B195" s="280" t="s">
        <v>1065</v>
      </c>
      <c r="C195" s="279" t="s">
        <v>15</v>
      </c>
      <c r="D195" s="279" t="s">
        <v>342</v>
      </c>
      <c r="E195" s="568" t="s">
        <v>1064</v>
      </c>
      <c r="F195" s="568"/>
      <c r="G195" s="281" t="s">
        <v>367</v>
      </c>
      <c r="H195" s="282">
        <v>0.13</v>
      </c>
      <c r="I195" s="449">
        <v>83.447900000000004</v>
      </c>
      <c r="J195" s="449">
        <v>10.85</v>
      </c>
    </row>
    <row r="196" spans="1:10">
      <c r="A196" s="279" t="s">
        <v>465</v>
      </c>
      <c r="B196" s="280" t="s">
        <v>1066</v>
      </c>
      <c r="C196" s="279" t="s">
        <v>15</v>
      </c>
      <c r="D196" s="279" t="s">
        <v>1067</v>
      </c>
      <c r="E196" s="568" t="s">
        <v>1064</v>
      </c>
      <c r="F196" s="568"/>
      <c r="G196" s="281" t="s">
        <v>367</v>
      </c>
      <c r="H196" s="282">
        <v>0.13</v>
      </c>
      <c r="I196" s="449">
        <v>32.220599999999997</v>
      </c>
      <c r="J196" s="449">
        <v>4.1900000000000004</v>
      </c>
    </row>
    <row r="197" spans="1:10" ht="37.950000000000003" customHeight="1">
      <c r="A197" s="446"/>
      <c r="B197" s="446"/>
      <c r="C197" s="446"/>
      <c r="D197" s="446"/>
      <c r="E197" s="446"/>
      <c r="F197" s="447"/>
      <c r="G197" s="446"/>
      <c r="H197" s="447"/>
      <c r="I197" s="446"/>
      <c r="J197" s="447"/>
    </row>
    <row r="198" spans="1:10" ht="25.2" customHeight="1">
      <c r="A198" s="265" t="s">
        <v>1017</v>
      </c>
      <c r="B198" s="266" t="s">
        <v>59</v>
      </c>
      <c r="C198" s="265" t="s">
        <v>58</v>
      </c>
      <c r="D198" s="265" t="s">
        <v>74</v>
      </c>
      <c r="E198" s="556" t="s">
        <v>1048</v>
      </c>
      <c r="F198" s="556"/>
      <c r="G198" s="267" t="s">
        <v>69</v>
      </c>
      <c r="H198" s="266" t="s">
        <v>70</v>
      </c>
      <c r="I198" s="266" t="s">
        <v>67</v>
      </c>
      <c r="J198" s="266" t="s">
        <v>71</v>
      </c>
    </row>
    <row r="199" spans="1:10" ht="25.95" customHeight="1">
      <c r="A199" s="283" t="s">
        <v>461</v>
      </c>
      <c r="B199" s="284" t="s">
        <v>1002</v>
      </c>
      <c r="C199" s="283" t="s">
        <v>76</v>
      </c>
      <c r="D199" s="283" t="s">
        <v>1003</v>
      </c>
      <c r="E199" s="569" t="s">
        <v>1058</v>
      </c>
      <c r="F199" s="569"/>
      <c r="G199" s="285" t="s">
        <v>273</v>
      </c>
      <c r="H199" s="286">
        <v>1</v>
      </c>
      <c r="I199" s="292">
        <v>6.91</v>
      </c>
      <c r="J199" s="292">
        <v>6.91</v>
      </c>
    </row>
    <row r="200" spans="1:10" ht="27.6" customHeight="1">
      <c r="A200" s="265" t="s">
        <v>79</v>
      </c>
      <c r="B200" s="266" t="s">
        <v>59</v>
      </c>
      <c r="C200" s="265" t="s">
        <v>58</v>
      </c>
      <c r="D200" s="265" t="s">
        <v>1068</v>
      </c>
      <c r="E200" s="266" t="s">
        <v>1054</v>
      </c>
      <c r="F200" s="565" t="s">
        <v>1069</v>
      </c>
      <c r="G200" s="565"/>
      <c r="H200" s="565"/>
      <c r="I200" s="565"/>
      <c r="J200" s="266" t="s">
        <v>78</v>
      </c>
    </row>
    <row r="201" spans="1:10" ht="14.4" customHeight="1">
      <c r="A201" s="279" t="s">
        <v>465</v>
      </c>
      <c r="B201" s="280" t="s">
        <v>1070</v>
      </c>
      <c r="C201" s="279" t="s">
        <v>1071</v>
      </c>
      <c r="D201" s="279" t="s">
        <v>1072</v>
      </c>
      <c r="E201" s="282">
        <v>7.0000000000000007E-2</v>
      </c>
      <c r="F201" s="279"/>
      <c r="G201" s="572">
        <v>14.992900000000001</v>
      </c>
      <c r="H201" s="573"/>
      <c r="I201" s="574"/>
      <c r="J201" s="293">
        <v>1.05</v>
      </c>
    </row>
    <row r="202" spans="1:10" ht="14.4" customHeight="1">
      <c r="A202" s="279" t="s">
        <v>465</v>
      </c>
      <c r="B202" s="280" t="s">
        <v>1073</v>
      </c>
      <c r="C202" s="279" t="s">
        <v>1071</v>
      </c>
      <c r="D202" s="279" t="s">
        <v>1074</v>
      </c>
      <c r="E202" s="282">
        <v>7.0000000000000007E-2</v>
      </c>
      <c r="F202" s="279"/>
      <c r="G202" s="572">
        <v>9.6196999999999999</v>
      </c>
      <c r="H202" s="573"/>
      <c r="I202" s="574"/>
      <c r="J202" s="293">
        <v>0.67</v>
      </c>
    </row>
    <row r="203" spans="1:10" ht="14.4" customHeight="1">
      <c r="A203" s="279" t="s">
        <v>465</v>
      </c>
      <c r="B203" s="280" t="s">
        <v>1075</v>
      </c>
      <c r="C203" s="279" t="s">
        <v>1071</v>
      </c>
      <c r="D203" s="279" t="s">
        <v>322</v>
      </c>
      <c r="E203" s="282">
        <v>7.0000000000000007E-2</v>
      </c>
      <c r="F203" s="279"/>
      <c r="G203" s="572">
        <v>29.465800000000002</v>
      </c>
      <c r="H203" s="573"/>
      <c r="I203" s="574"/>
      <c r="J203" s="293">
        <v>2.06</v>
      </c>
    </row>
    <row r="204" spans="1:10">
      <c r="A204" s="488"/>
      <c r="B204" s="488"/>
      <c r="C204" s="488"/>
      <c r="D204" s="488"/>
      <c r="E204" s="488"/>
      <c r="F204" s="488"/>
      <c r="G204" s="488" t="s">
        <v>1076</v>
      </c>
      <c r="H204" s="488"/>
      <c r="I204" s="488"/>
      <c r="J204" s="445">
        <v>3.7800000000000002</v>
      </c>
    </row>
    <row r="205" spans="1:10">
      <c r="A205" s="488"/>
      <c r="B205" s="488"/>
      <c r="C205" s="488"/>
      <c r="D205" s="488"/>
      <c r="E205" s="488"/>
      <c r="F205" s="488"/>
      <c r="G205" s="488" t="s">
        <v>1049</v>
      </c>
      <c r="H205" s="488"/>
      <c r="I205" s="488"/>
      <c r="J205" s="445">
        <v>3.7800000000000002</v>
      </c>
    </row>
    <row r="206" spans="1:10">
      <c r="A206" s="488"/>
      <c r="B206" s="488"/>
      <c r="C206" s="488"/>
      <c r="D206" s="488"/>
      <c r="E206" s="488"/>
      <c r="F206" s="488"/>
      <c r="G206" s="488" t="s">
        <v>1050</v>
      </c>
      <c r="H206" s="488"/>
      <c r="I206" s="488"/>
      <c r="J206" s="445">
        <v>0</v>
      </c>
    </row>
    <row r="207" spans="1:10">
      <c r="A207" s="488"/>
      <c r="B207" s="488"/>
      <c r="C207" s="488"/>
      <c r="D207" s="488"/>
      <c r="E207" s="488"/>
      <c r="F207" s="488"/>
      <c r="G207" s="488" t="s">
        <v>1051</v>
      </c>
      <c r="H207" s="488"/>
      <c r="I207" s="488"/>
      <c r="J207" s="445">
        <v>0</v>
      </c>
    </row>
    <row r="208" spans="1:10">
      <c r="A208" s="488"/>
      <c r="B208" s="488"/>
      <c r="C208" s="488"/>
      <c r="D208" s="488"/>
      <c r="E208" s="488"/>
      <c r="F208" s="488"/>
      <c r="G208" s="488" t="s">
        <v>1052</v>
      </c>
      <c r="H208" s="488"/>
      <c r="I208" s="488"/>
      <c r="J208" s="445">
        <v>1</v>
      </c>
    </row>
    <row r="209" spans="1:10">
      <c r="A209" s="570"/>
      <c r="B209" s="570"/>
      <c r="C209" s="570"/>
      <c r="D209" s="570"/>
      <c r="E209" s="570"/>
      <c r="F209" s="570"/>
      <c r="G209" s="570" t="s">
        <v>1053</v>
      </c>
      <c r="H209" s="570"/>
      <c r="I209" s="570"/>
      <c r="J209" s="445">
        <v>3.7800000000000002</v>
      </c>
    </row>
    <row r="210" spans="1:10" ht="29.4" customHeight="1">
      <c r="A210" s="265" t="s">
        <v>80</v>
      </c>
      <c r="B210" s="266" t="s">
        <v>58</v>
      </c>
      <c r="C210" s="265" t="s">
        <v>59</v>
      </c>
      <c r="D210" s="265" t="s">
        <v>1077</v>
      </c>
      <c r="E210" s="266" t="s">
        <v>1054</v>
      </c>
      <c r="F210" s="266" t="s">
        <v>1055</v>
      </c>
      <c r="G210" s="565" t="s">
        <v>1056</v>
      </c>
      <c r="H210" s="565"/>
      <c r="I210" s="565"/>
      <c r="J210" s="266" t="s">
        <v>78</v>
      </c>
    </row>
    <row r="211" spans="1:10" ht="26.4" customHeight="1">
      <c r="A211" s="279" t="s">
        <v>465</v>
      </c>
      <c r="B211" s="280" t="s">
        <v>1071</v>
      </c>
      <c r="C211" s="279" t="s">
        <v>1078</v>
      </c>
      <c r="D211" s="279" t="s">
        <v>1079</v>
      </c>
      <c r="E211" s="282">
        <v>1</v>
      </c>
      <c r="F211" s="281" t="s">
        <v>273</v>
      </c>
      <c r="G211" s="575">
        <v>3.13</v>
      </c>
      <c r="H211" s="575"/>
      <c r="I211" s="575"/>
      <c r="J211" s="448">
        <v>3.13</v>
      </c>
    </row>
    <row r="212" spans="1:10">
      <c r="A212" s="488"/>
      <c r="B212" s="488"/>
      <c r="C212" s="488"/>
      <c r="D212" s="488"/>
      <c r="E212" s="488"/>
      <c r="F212" s="488"/>
      <c r="G212" s="488" t="s">
        <v>495</v>
      </c>
      <c r="H212" s="488"/>
      <c r="I212" s="488"/>
      <c r="J212" s="445">
        <v>3.13</v>
      </c>
    </row>
    <row r="213" spans="1:10" ht="32.4" customHeight="1">
      <c r="A213" s="446"/>
      <c r="B213" s="446"/>
      <c r="C213" s="446"/>
      <c r="D213" s="446"/>
      <c r="E213" s="446"/>
      <c r="F213" s="447"/>
      <c r="G213" s="446"/>
      <c r="H213" s="447"/>
      <c r="I213" s="446"/>
      <c r="J213" s="447"/>
    </row>
    <row r="214" spans="1:10" ht="26.4" customHeight="1">
      <c r="A214" s="265" t="s">
        <v>1019</v>
      </c>
      <c r="B214" s="266" t="s">
        <v>59</v>
      </c>
      <c r="C214" s="265" t="s">
        <v>58</v>
      </c>
      <c r="D214" s="265" t="s">
        <v>74</v>
      </c>
      <c r="E214" s="556" t="s">
        <v>1048</v>
      </c>
      <c r="F214" s="556"/>
      <c r="G214" s="267" t="s">
        <v>69</v>
      </c>
      <c r="H214" s="266" t="s">
        <v>70</v>
      </c>
      <c r="I214" s="266" t="s">
        <v>67</v>
      </c>
      <c r="J214" s="266" t="s">
        <v>71</v>
      </c>
    </row>
    <row r="215" spans="1:10" ht="25.95" customHeight="1">
      <c r="A215" s="283" t="s">
        <v>461</v>
      </c>
      <c r="B215" s="284" t="s">
        <v>1020</v>
      </c>
      <c r="C215" s="283" t="s">
        <v>76</v>
      </c>
      <c r="D215" s="283" t="s">
        <v>1021</v>
      </c>
      <c r="E215" s="569" t="s">
        <v>1058</v>
      </c>
      <c r="F215" s="569"/>
      <c r="G215" s="285" t="s">
        <v>28</v>
      </c>
      <c r="H215" s="286">
        <v>1</v>
      </c>
      <c r="I215" s="292">
        <v>286.56</v>
      </c>
      <c r="J215" s="292">
        <v>286.56</v>
      </c>
    </row>
    <row r="216" spans="1:10" ht="26.4">
      <c r="A216" s="279" t="s">
        <v>462</v>
      </c>
      <c r="B216" s="280" t="s">
        <v>1059</v>
      </c>
      <c r="C216" s="279" t="s">
        <v>599</v>
      </c>
      <c r="D216" s="279" t="s">
        <v>1060</v>
      </c>
      <c r="E216" s="568" t="s">
        <v>1061</v>
      </c>
      <c r="F216" s="568"/>
      <c r="G216" s="281" t="s">
        <v>364</v>
      </c>
      <c r="H216" s="282">
        <v>0.09</v>
      </c>
      <c r="I216" s="449">
        <v>3016.87</v>
      </c>
      <c r="J216" s="449">
        <v>271.52</v>
      </c>
    </row>
    <row r="217" spans="1:10">
      <c r="A217" s="279" t="s">
        <v>465</v>
      </c>
      <c r="B217" s="280" t="s">
        <v>1065</v>
      </c>
      <c r="C217" s="279" t="s">
        <v>15</v>
      </c>
      <c r="D217" s="279" t="s">
        <v>342</v>
      </c>
      <c r="E217" s="568" t="s">
        <v>1064</v>
      </c>
      <c r="F217" s="568"/>
      <c r="G217" s="281" t="s">
        <v>367</v>
      </c>
      <c r="H217" s="282">
        <v>0.13</v>
      </c>
      <c r="I217" s="449">
        <v>83.447900000000004</v>
      </c>
      <c r="J217" s="449">
        <v>10.85</v>
      </c>
    </row>
    <row r="218" spans="1:10">
      <c r="A218" s="279" t="s">
        <v>465</v>
      </c>
      <c r="B218" s="280" t="s">
        <v>1066</v>
      </c>
      <c r="C218" s="279" t="s">
        <v>15</v>
      </c>
      <c r="D218" s="279" t="s">
        <v>1067</v>
      </c>
      <c r="E218" s="568" t="s">
        <v>1064</v>
      </c>
      <c r="F218" s="568"/>
      <c r="G218" s="281" t="s">
        <v>367</v>
      </c>
      <c r="H218" s="282">
        <v>0.13</v>
      </c>
      <c r="I218" s="449">
        <v>32.220599999999997</v>
      </c>
      <c r="J218" s="449">
        <v>4.1900000000000004</v>
      </c>
    </row>
    <row r="219" spans="1:10" ht="30" customHeight="1">
      <c r="A219" s="446"/>
      <c r="B219" s="446"/>
      <c r="C219" s="446"/>
      <c r="D219" s="446"/>
      <c r="E219" s="446"/>
      <c r="F219" s="447"/>
      <c r="G219" s="446"/>
      <c r="H219" s="447"/>
      <c r="I219" s="446"/>
      <c r="J219" s="447"/>
    </row>
    <row r="220" spans="1:10" ht="26.4" customHeight="1">
      <c r="A220" s="265" t="s">
        <v>1022</v>
      </c>
      <c r="B220" s="266" t="s">
        <v>59</v>
      </c>
      <c r="C220" s="265" t="s">
        <v>58</v>
      </c>
      <c r="D220" s="265" t="s">
        <v>74</v>
      </c>
      <c r="E220" s="556" t="s">
        <v>1048</v>
      </c>
      <c r="F220" s="556"/>
      <c r="G220" s="267" t="s">
        <v>69</v>
      </c>
      <c r="H220" s="266" t="s">
        <v>70</v>
      </c>
      <c r="I220" s="266" t="s">
        <v>67</v>
      </c>
      <c r="J220" s="266" t="s">
        <v>71</v>
      </c>
    </row>
    <row r="221" spans="1:10" ht="25.95" customHeight="1">
      <c r="A221" s="283" t="s">
        <v>461</v>
      </c>
      <c r="B221" s="284" t="s">
        <v>1023</v>
      </c>
      <c r="C221" s="283" t="s">
        <v>76</v>
      </c>
      <c r="D221" s="283" t="s">
        <v>1024</v>
      </c>
      <c r="E221" s="569" t="s">
        <v>1058</v>
      </c>
      <c r="F221" s="569"/>
      <c r="G221" s="285" t="s">
        <v>28</v>
      </c>
      <c r="H221" s="286">
        <v>1</v>
      </c>
      <c r="I221" s="292">
        <v>286.56</v>
      </c>
      <c r="J221" s="292">
        <v>286.56</v>
      </c>
    </row>
    <row r="222" spans="1:10" ht="26.4">
      <c r="A222" s="279" t="s">
        <v>462</v>
      </c>
      <c r="B222" s="280" t="s">
        <v>1059</v>
      </c>
      <c r="C222" s="279" t="s">
        <v>599</v>
      </c>
      <c r="D222" s="279" t="s">
        <v>1060</v>
      </c>
      <c r="E222" s="568" t="s">
        <v>1061</v>
      </c>
      <c r="F222" s="568"/>
      <c r="G222" s="281" t="s">
        <v>364</v>
      </c>
      <c r="H222" s="282">
        <v>0.09</v>
      </c>
      <c r="I222" s="449">
        <v>3016.87</v>
      </c>
      <c r="J222" s="449">
        <v>271.52</v>
      </c>
    </row>
    <row r="223" spans="1:10">
      <c r="A223" s="279" t="s">
        <v>465</v>
      </c>
      <c r="B223" s="280" t="s">
        <v>1065</v>
      </c>
      <c r="C223" s="279" t="s">
        <v>15</v>
      </c>
      <c r="D223" s="279" t="s">
        <v>342</v>
      </c>
      <c r="E223" s="568" t="s">
        <v>1064</v>
      </c>
      <c r="F223" s="568"/>
      <c r="G223" s="281" t="s">
        <v>367</v>
      </c>
      <c r="H223" s="282">
        <v>0.13</v>
      </c>
      <c r="I223" s="449">
        <v>83.447900000000004</v>
      </c>
      <c r="J223" s="449">
        <v>10.85</v>
      </c>
    </row>
    <row r="224" spans="1:10">
      <c r="A224" s="279" t="s">
        <v>465</v>
      </c>
      <c r="B224" s="280" t="s">
        <v>1066</v>
      </c>
      <c r="C224" s="279" t="s">
        <v>15</v>
      </c>
      <c r="D224" s="279" t="s">
        <v>1067</v>
      </c>
      <c r="E224" s="568" t="s">
        <v>1064</v>
      </c>
      <c r="F224" s="568"/>
      <c r="G224" s="281" t="s">
        <v>367</v>
      </c>
      <c r="H224" s="282">
        <v>0.13</v>
      </c>
      <c r="I224" s="449">
        <v>32.220599999999997</v>
      </c>
      <c r="J224" s="449">
        <v>4.1900000000000004</v>
      </c>
    </row>
    <row r="225" spans="1:10" ht="31.95" customHeight="1">
      <c r="A225" s="446"/>
      <c r="B225" s="446"/>
      <c r="C225" s="446"/>
      <c r="D225" s="446"/>
      <c r="E225" s="446"/>
      <c r="F225" s="447"/>
      <c r="G225" s="446"/>
      <c r="H225" s="447"/>
      <c r="I225" s="446"/>
      <c r="J225" s="447"/>
    </row>
    <row r="226" spans="1:10" ht="26.4" customHeight="1">
      <c r="A226" s="265" t="s">
        <v>1025</v>
      </c>
      <c r="B226" s="266" t="s">
        <v>59</v>
      </c>
      <c r="C226" s="265" t="s">
        <v>58</v>
      </c>
      <c r="D226" s="265" t="s">
        <v>74</v>
      </c>
      <c r="E226" s="556" t="s">
        <v>1048</v>
      </c>
      <c r="F226" s="556"/>
      <c r="G226" s="267" t="s">
        <v>69</v>
      </c>
      <c r="H226" s="266" t="s">
        <v>70</v>
      </c>
      <c r="I226" s="266" t="s">
        <v>67</v>
      </c>
      <c r="J226" s="266" t="s">
        <v>71</v>
      </c>
    </row>
    <row r="227" spans="1:10" ht="25.95" customHeight="1">
      <c r="A227" s="283" t="s">
        <v>461</v>
      </c>
      <c r="B227" s="284" t="s">
        <v>1026</v>
      </c>
      <c r="C227" s="283" t="s">
        <v>76</v>
      </c>
      <c r="D227" s="283" t="s">
        <v>1027</v>
      </c>
      <c r="E227" s="569" t="s">
        <v>1080</v>
      </c>
      <c r="F227" s="569"/>
      <c r="G227" s="285" t="s">
        <v>28</v>
      </c>
      <c r="H227" s="286">
        <v>1</v>
      </c>
      <c r="I227" s="292">
        <v>34.36</v>
      </c>
      <c r="J227" s="292">
        <v>34.36</v>
      </c>
    </row>
    <row r="228" spans="1:10" ht="26.4">
      <c r="A228" s="279" t="s">
        <v>462</v>
      </c>
      <c r="B228" s="280" t="s">
        <v>1059</v>
      </c>
      <c r="C228" s="279" t="s">
        <v>599</v>
      </c>
      <c r="D228" s="279" t="s">
        <v>1060</v>
      </c>
      <c r="E228" s="568" t="s">
        <v>1061</v>
      </c>
      <c r="F228" s="568"/>
      <c r="G228" s="281" t="s">
        <v>364</v>
      </c>
      <c r="H228" s="282">
        <v>0.01</v>
      </c>
      <c r="I228" s="449">
        <v>3016.87</v>
      </c>
      <c r="J228" s="449">
        <v>30.17</v>
      </c>
    </row>
    <row r="229" spans="1:10">
      <c r="A229" s="279" t="s">
        <v>465</v>
      </c>
      <c r="B229" s="280" t="s">
        <v>1066</v>
      </c>
      <c r="C229" s="279" t="s">
        <v>15</v>
      </c>
      <c r="D229" s="279" t="s">
        <v>1067</v>
      </c>
      <c r="E229" s="568" t="s">
        <v>1064</v>
      </c>
      <c r="F229" s="568"/>
      <c r="G229" s="281" t="s">
        <v>367</v>
      </c>
      <c r="H229" s="282">
        <v>0.13</v>
      </c>
      <c r="I229" s="449">
        <v>32.220599999999997</v>
      </c>
      <c r="J229" s="449">
        <v>4.1900000000000004</v>
      </c>
    </row>
    <row r="230" spans="1:10" ht="31.2" customHeight="1">
      <c r="A230" s="446"/>
      <c r="B230" s="446"/>
      <c r="C230" s="446"/>
      <c r="D230" s="446"/>
      <c r="E230" s="446"/>
      <c r="F230" s="447"/>
      <c r="G230" s="446"/>
      <c r="H230" s="447"/>
      <c r="I230" s="446"/>
      <c r="J230" s="447"/>
    </row>
    <row r="231" spans="1:10" ht="26.4" customHeight="1">
      <c r="A231" s="265" t="s">
        <v>1028</v>
      </c>
      <c r="B231" s="266" t="s">
        <v>59</v>
      </c>
      <c r="C231" s="265" t="s">
        <v>58</v>
      </c>
      <c r="D231" s="265" t="s">
        <v>74</v>
      </c>
      <c r="E231" s="556" t="s">
        <v>1048</v>
      </c>
      <c r="F231" s="556"/>
      <c r="G231" s="267" t="s">
        <v>69</v>
      </c>
      <c r="H231" s="266" t="s">
        <v>70</v>
      </c>
      <c r="I231" s="266" t="s">
        <v>67</v>
      </c>
      <c r="J231" s="266" t="s">
        <v>71</v>
      </c>
    </row>
    <row r="232" spans="1:10" ht="25.95" customHeight="1">
      <c r="A232" s="283" t="s">
        <v>461</v>
      </c>
      <c r="B232" s="284" t="s">
        <v>1029</v>
      </c>
      <c r="C232" s="283" t="s">
        <v>76</v>
      </c>
      <c r="D232" s="283" t="s">
        <v>1030</v>
      </c>
      <c r="E232" s="569" t="s">
        <v>1058</v>
      </c>
      <c r="F232" s="569"/>
      <c r="G232" s="285" t="s">
        <v>28</v>
      </c>
      <c r="H232" s="286">
        <v>1</v>
      </c>
      <c r="I232" s="292">
        <v>34.36</v>
      </c>
      <c r="J232" s="292">
        <v>34.36</v>
      </c>
    </row>
    <row r="233" spans="1:10" ht="26.4">
      <c r="A233" s="279" t="s">
        <v>462</v>
      </c>
      <c r="B233" s="280" t="s">
        <v>1059</v>
      </c>
      <c r="C233" s="279" t="s">
        <v>599</v>
      </c>
      <c r="D233" s="279" t="s">
        <v>1060</v>
      </c>
      <c r="E233" s="568" t="s">
        <v>1061</v>
      </c>
      <c r="F233" s="568"/>
      <c r="G233" s="281" t="s">
        <v>364</v>
      </c>
      <c r="H233" s="282">
        <v>0.01</v>
      </c>
      <c r="I233" s="449">
        <v>3016.87</v>
      </c>
      <c r="J233" s="449">
        <v>30.17</v>
      </c>
    </row>
    <row r="234" spans="1:10">
      <c r="A234" s="279" t="s">
        <v>465</v>
      </c>
      <c r="B234" s="280" t="s">
        <v>1066</v>
      </c>
      <c r="C234" s="279" t="s">
        <v>15</v>
      </c>
      <c r="D234" s="279" t="s">
        <v>1067</v>
      </c>
      <c r="E234" s="568" t="s">
        <v>1064</v>
      </c>
      <c r="F234" s="568"/>
      <c r="G234" s="281" t="s">
        <v>367</v>
      </c>
      <c r="H234" s="282">
        <v>0.13</v>
      </c>
      <c r="I234" s="449">
        <v>32.220599999999997</v>
      </c>
      <c r="J234" s="449">
        <v>4.1900000000000004</v>
      </c>
    </row>
    <row r="235" spans="1:10" ht="25.95" customHeight="1">
      <c r="A235" s="446"/>
      <c r="B235" s="446"/>
      <c r="C235" s="446"/>
      <c r="D235" s="446"/>
      <c r="E235" s="446"/>
      <c r="F235" s="447"/>
      <c r="G235" s="446"/>
      <c r="H235" s="447"/>
      <c r="I235" s="446"/>
      <c r="J235" s="447"/>
    </row>
    <row r="236" spans="1:10" ht="26.4" customHeight="1">
      <c r="A236" s="265" t="s">
        <v>1031</v>
      </c>
      <c r="B236" s="266" t="s">
        <v>59</v>
      </c>
      <c r="C236" s="265" t="s">
        <v>58</v>
      </c>
      <c r="D236" s="265" t="s">
        <v>74</v>
      </c>
      <c r="E236" s="556" t="s">
        <v>1048</v>
      </c>
      <c r="F236" s="556"/>
      <c r="G236" s="267" t="s">
        <v>69</v>
      </c>
      <c r="H236" s="266" t="s">
        <v>70</v>
      </c>
      <c r="I236" s="266" t="s">
        <v>67</v>
      </c>
      <c r="J236" s="266" t="s">
        <v>71</v>
      </c>
    </row>
    <row r="237" spans="1:10" ht="25.95" customHeight="1">
      <c r="A237" s="283" t="s">
        <v>461</v>
      </c>
      <c r="B237" s="284" t="s">
        <v>1032</v>
      </c>
      <c r="C237" s="283" t="s">
        <v>76</v>
      </c>
      <c r="D237" s="283" t="s">
        <v>1033</v>
      </c>
      <c r="E237" s="569" t="s">
        <v>1058</v>
      </c>
      <c r="F237" s="569"/>
      <c r="G237" s="285" t="s">
        <v>28</v>
      </c>
      <c r="H237" s="286">
        <v>1</v>
      </c>
      <c r="I237" s="292">
        <v>34.36</v>
      </c>
      <c r="J237" s="292">
        <v>34.36</v>
      </c>
    </row>
    <row r="238" spans="1:10" ht="26.4">
      <c r="A238" s="279" t="s">
        <v>462</v>
      </c>
      <c r="B238" s="280" t="s">
        <v>1059</v>
      </c>
      <c r="C238" s="279" t="s">
        <v>599</v>
      </c>
      <c r="D238" s="279" t="s">
        <v>1060</v>
      </c>
      <c r="E238" s="568" t="s">
        <v>1061</v>
      </c>
      <c r="F238" s="568"/>
      <c r="G238" s="281" t="s">
        <v>364</v>
      </c>
      <c r="H238" s="282">
        <v>0.01</v>
      </c>
      <c r="I238" s="449">
        <v>3016.87</v>
      </c>
      <c r="J238" s="449">
        <v>30.17</v>
      </c>
    </row>
    <row r="239" spans="1:10">
      <c r="A239" s="279" t="s">
        <v>465</v>
      </c>
      <c r="B239" s="280" t="s">
        <v>1066</v>
      </c>
      <c r="C239" s="279" t="s">
        <v>15</v>
      </c>
      <c r="D239" s="279" t="s">
        <v>1067</v>
      </c>
      <c r="E239" s="568" t="s">
        <v>1064</v>
      </c>
      <c r="F239" s="568"/>
      <c r="G239" s="281" t="s">
        <v>367</v>
      </c>
      <c r="H239" s="282">
        <v>0.13</v>
      </c>
      <c r="I239" s="449">
        <v>32.220599999999997</v>
      </c>
      <c r="J239" s="449">
        <v>4.1900000000000004</v>
      </c>
    </row>
    <row r="240" spans="1:10" ht="27.6" customHeight="1">
      <c r="A240" s="446"/>
      <c r="B240" s="446"/>
      <c r="C240" s="446"/>
      <c r="D240" s="446"/>
      <c r="E240" s="446"/>
      <c r="F240" s="447"/>
      <c r="G240" s="446"/>
      <c r="H240" s="447"/>
      <c r="I240" s="446"/>
      <c r="J240" s="447"/>
    </row>
    <row r="241" spans="1:10" ht="26.4" customHeight="1">
      <c r="A241" s="265" t="s">
        <v>1034</v>
      </c>
      <c r="B241" s="266" t="s">
        <v>59</v>
      </c>
      <c r="C241" s="265" t="s">
        <v>58</v>
      </c>
      <c r="D241" s="265" t="s">
        <v>74</v>
      </c>
      <c r="E241" s="556" t="s">
        <v>1048</v>
      </c>
      <c r="F241" s="556"/>
      <c r="G241" s="267" t="s">
        <v>69</v>
      </c>
      <c r="H241" s="266" t="s">
        <v>70</v>
      </c>
      <c r="I241" s="266" t="s">
        <v>67</v>
      </c>
      <c r="J241" s="266" t="s">
        <v>71</v>
      </c>
    </row>
    <row r="242" spans="1:10" ht="25.95" customHeight="1">
      <c r="A242" s="283" t="s">
        <v>461</v>
      </c>
      <c r="B242" s="284" t="s">
        <v>1035</v>
      </c>
      <c r="C242" s="283" t="s">
        <v>76</v>
      </c>
      <c r="D242" s="283" t="s">
        <v>1036</v>
      </c>
      <c r="E242" s="569" t="s">
        <v>1058</v>
      </c>
      <c r="F242" s="569"/>
      <c r="G242" s="285" t="s">
        <v>28</v>
      </c>
      <c r="H242" s="286">
        <v>1</v>
      </c>
      <c r="I242" s="292">
        <v>34.36</v>
      </c>
      <c r="J242" s="292">
        <v>34.36</v>
      </c>
    </row>
    <row r="243" spans="1:10" ht="26.4">
      <c r="A243" s="279" t="s">
        <v>462</v>
      </c>
      <c r="B243" s="280" t="s">
        <v>1059</v>
      </c>
      <c r="C243" s="279" t="s">
        <v>599</v>
      </c>
      <c r="D243" s="279" t="s">
        <v>1060</v>
      </c>
      <c r="E243" s="568" t="s">
        <v>1061</v>
      </c>
      <c r="F243" s="568"/>
      <c r="G243" s="281" t="s">
        <v>364</v>
      </c>
      <c r="H243" s="282">
        <v>0.01</v>
      </c>
      <c r="I243" s="449">
        <v>3016.87</v>
      </c>
      <c r="J243" s="449">
        <v>30.17</v>
      </c>
    </row>
    <row r="244" spans="1:10">
      <c r="A244" s="279" t="s">
        <v>465</v>
      </c>
      <c r="B244" s="280" t="s">
        <v>1066</v>
      </c>
      <c r="C244" s="279" t="s">
        <v>15</v>
      </c>
      <c r="D244" s="279" t="s">
        <v>1067</v>
      </c>
      <c r="E244" s="568" t="s">
        <v>1064</v>
      </c>
      <c r="F244" s="568"/>
      <c r="G244" s="281" t="s">
        <v>367</v>
      </c>
      <c r="H244" s="282">
        <v>0.13</v>
      </c>
      <c r="I244" s="449">
        <v>32.220599999999997</v>
      </c>
      <c r="J244" s="449">
        <v>4.1900000000000004</v>
      </c>
    </row>
    <row r="245" spans="1:10" ht="27.6" customHeight="1">
      <c r="A245" s="446"/>
      <c r="B245" s="446"/>
      <c r="C245" s="446"/>
      <c r="D245" s="446"/>
      <c r="E245" s="446"/>
      <c r="F245" s="447"/>
      <c r="G245" s="446"/>
      <c r="H245" s="447"/>
      <c r="I245" s="446"/>
      <c r="J245" s="447"/>
    </row>
    <row r="246" spans="1:10" ht="26.4" customHeight="1">
      <c r="A246" s="265" t="s">
        <v>1037</v>
      </c>
      <c r="B246" s="266" t="s">
        <v>59</v>
      </c>
      <c r="C246" s="265" t="s">
        <v>58</v>
      </c>
      <c r="D246" s="265" t="s">
        <v>74</v>
      </c>
      <c r="E246" s="556" t="s">
        <v>1048</v>
      </c>
      <c r="F246" s="556"/>
      <c r="G246" s="267" t="s">
        <v>69</v>
      </c>
      <c r="H246" s="266" t="s">
        <v>70</v>
      </c>
      <c r="I246" s="266" t="s">
        <v>67</v>
      </c>
      <c r="J246" s="266" t="s">
        <v>71</v>
      </c>
    </row>
    <row r="247" spans="1:10" ht="25.95" customHeight="1">
      <c r="A247" s="283" t="s">
        <v>461</v>
      </c>
      <c r="B247" s="284" t="s">
        <v>1035</v>
      </c>
      <c r="C247" s="283" t="s">
        <v>76</v>
      </c>
      <c r="D247" s="283" t="s">
        <v>1036</v>
      </c>
      <c r="E247" s="569" t="s">
        <v>1058</v>
      </c>
      <c r="F247" s="569"/>
      <c r="G247" s="285" t="s">
        <v>28</v>
      </c>
      <c r="H247" s="286">
        <v>1</v>
      </c>
      <c r="I247" s="292">
        <v>34.36</v>
      </c>
      <c r="J247" s="292">
        <v>34.36</v>
      </c>
    </row>
    <row r="248" spans="1:10" ht="26.4">
      <c r="A248" s="279" t="s">
        <v>462</v>
      </c>
      <c r="B248" s="280" t="s">
        <v>1059</v>
      </c>
      <c r="C248" s="279" t="s">
        <v>599</v>
      </c>
      <c r="D248" s="279" t="s">
        <v>1060</v>
      </c>
      <c r="E248" s="568" t="s">
        <v>1061</v>
      </c>
      <c r="F248" s="568"/>
      <c r="G248" s="281" t="s">
        <v>364</v>
      </c>
      <c r="H248" s="282">
        <v>0.01</v>
      </c>
      <c r="I248" s="449">
        <v>3016.87</v>
      </c>
      <c r="J248" s="449">
        <v>30.17</v>
      </c>
    </row>
    <row r="249" spans="1:10">
      <c r="A249" s="279" t="s">
        <v>465</v>
      </c>
      <c r="B249" s="280" t="s">
        <v>1066</v>
      </c>
      <c r="C249" s="279" t="s">
        <v>15</v>
      </c>
      <c r="D249" s="279" t="s">
        <v>1067</v>
      </c>
      <c r="E249" s="568" t="s">
        <v>1064</v>
      </c>
      <c r="F249" s="568"/>
      <c r="G249" s="281" t="s">
        <v>367</v>
      </c>
      <c r="H249" s="282">
        <v>0.13</v>
      </c>
      <c r="I249" s="449">
        <v>32.220599999999997</v>
      </c>
      <c r="J249" s="449">
        <v>4.1900000000000004</v>
      </c>
    </row>
    <row r="250" spans="1:10" ht="29.4" customHeight="1">
      <c r="A250" s="446"/>
      <c r="B250" s="446"/>
      <c r="C250" s="446"/>
      <c r="D250" s="446"/>
      <c r="E250" s="446"/>
      <c r="F250" s="447"/>
      <c r="G250" s="446"/>
      <c r="H250" s="447"/>
      <c r="I250" s="446"/>
      <c r="J250" s="447"/>
    </row>
    <row r="251" spans="1:10" ht="25.2" customHeight="1">
      <c r="A251" s="265" t="s">
        <v>1038</v>
      </c>
      <c r="B251" s="266" t="s">
        <v>59</v>
      </c>
      <c r="C251" s="265" t="s">
        <v>58</v>
      </c>
      <c r="D251" s="265" t="s">
        <v>74</v>
      </c>
      <c r="E251" s="556" t="s">
        <v>1048</v>
      </c>
      <c r="F251" s="556"/>
      <c r="G251" s="267" t="s">
        <v>69</v>
      </c>
      <c r="H251" s="266" t="s">
        <v>70</v>
      </c>
      <c r="I251" s="266" t="s">
        <v>67</v>
      </c>
      <c r="J251" s="266" t="s">
        <v>71</v>
      </c>
    </row>
    <row r="252" spans="1:10" ht="25.95" customHeight="1">
      <c r="A252" s="283" t="s">
        <v>461</v>
      </c>
      <c r="B252" s="284" t="s">
        <v>1002</v>
      </c>
      <c r="C252" s="283" t="s">
        <v>76</v>
      </c>
      <c r="D252" s="283" t="s">
        <v>1003</v>
      </c>
      <c r="E252" s="569" t="s">
        <v>1058</v>
      </c>
      <c r="F252" s="569"/>
      <c r="G252" s="285" t="s">
        <v>273</v>
      </c>
      <c r="H252" s="286">
        <v>1</v>
      </c>
      <c r="I252" s="292">
        <v>6.91</v>
      </c>
      <c r="J252" s="292">
        <v>6.91</v>
      </c>
    </row>
    <row r="253" spans="1:10" ht="24" customHeight="1">
      <c r="A253" s="265" t="s">
        <v>79</v>
      </c>
      <c r="B253" s="266" t="s">
        <v>59</v>
      </c>
      <c r="C253" s="265" t="s">
        <v>58</v>
      </c>
      <c r="D253" s="265" t="s">
        <v>1068</v>
      </c>
      <c r="E253" s="266" t="s">
        <v>1054</v>
      </c>
      <c r="F253" s="565" t="s">
        <v>1069</v>
      </c>
      <c r="G253" s="565"/>
      <c r="H253" s="565"/>
      <c r="I253" s="565"/>
      <c r="J253" s="266" t="s">
        <v>78</v>
      </c>
    </row>
    <row r="254" spans="1:10" ht="14.4" customHeight="1">
      <c r="A254" s="279" t="s">
        <v>465</v>
      </c>
      <c r="B254" s="280" t="s">
        <v>1070</v>
      </c>
      <c r="C254" s="279" t="s">
        <v>1071</v>
      </c>
      <c r="D254" s="279" t="s">
        <v>1072</v>
      </c>
      <c r="E254" s="282">
        <v>7.0000000000000007E-2</v>
      </c>
      <c r="F254" s="572">
        <v>14.992900000000001</v>
      </c>
      <c r="G254" s="573"/>
      <c r="H254" s="573"/>
      <c r="I254" s="574"/>
      <c r="J254" s="293">
        <v>1.05</v>
      </c>
    </row>
    <row r="255" spans="1:10" ht="14.4" customHeight="1">
      <c r="A255" s="279" t="s">
        <v>465</v>
      </c>
      <c r="B255" s="280" t="s">
        <v>1073</v>
      </c>
      <c r="C255" s="279" t="s">
        <v>1071</v>
      </c>
      <c r="D255" s="279" t="s">
        <v>1074</v>
      </c>
      <c r="E255" s="282">
        <v>7.0000000000000007E-2</v>
      </c>
      <c r="F255" s="572">
        <v>9.6196999999999999</v>
      </c>
      <c r="G255" s="573"/>
      <c r="H255" s="573"/>
      <c r="I255" s="574"/>
      <c r="J255" s="293">
        <v>0.67</v>
      </c>
    </row>
    <row r="256" spans="1:10" ht="14.4" customHeight="1">
      <c r="A256" s="279" t="s">
        <v>465</v>
      </c>
      <c r="B256" s="280" t="s">
        <v>1075</v>
      </c>
      <c r="C256" s="279" t="s">
        <v>1071</v>
      </c>
      <c r="D256" s="279" t="s">
        <v>322</v>
      </c>
      <c r="E256" s="282">
        <v>7.0000000000000007E-2</v>
      </c>
      <c r="F256" s="572">
        <v>29.465800000000002</v>
      </c>
      <c r="G256" s="573"/>
      <c r="H256" s="573"/>
      <c r="I256" s="574"/>
      <c r="J256" s="293">
        <v>2.06</v>
      </c>
    </row>
    <row r="257" spans="1:10">
      <c r="A257" s="488"/>
      <c r="B257" s="488"/>
      <c r="C257" s="488"/>
      <c r="D257" s="488"/>
      <c r="E257" s="488"/>
      <c r="F257" s="488"/>
      <c r="G257" s="488" t="s">
        <v>1076</v>
      </c>
      <c r="H257" s="488"/>
      <c r="I257" s="488"/>
      <c r="J257" s="450">
        <v>3.7800000000000002</v>
      </c>
    </row>
    <row r="258" spans="1:10">
      <c r="A258" s="488"/>
      <c r="B258" s="488"/>
      <c r="C258" s="488"/>
      <c r="D258" s="488"/>
      <c r="E258" s="488"/>
      <c r="F258" s="488"/>
      <c r="G258" s="488" t="s">
        <v>1049</v>
      </c>
      <c r="H258" s="488"/>
      <c r="I258" s="488"/>
      <c r="J258" s="450">
        <v>3.7800000000000002</v>
      </c>
    </row>
    <row r="259" spans="1:10">
      <c r="A259" s="488"/>
      <c r="B259" s="488"/>
      <c r="C259" s="488"/>
      <c r="D259" s="488"/>
      <c r="E259" s="488"/>
      <c r="F259" s="488"/>
      <c r="G259" s="488" t="s">
        <v>1050</v>
      </c>
      <c r="H259" s="488"/>
      <c r="I259" s="488"/>
      <c r="J259" s="450">
        <v>0</v>
      </c>
    </row>
    <row r="260" spans="1:10">
      <c r="A260" s="488"/>
      <c r="B260" s="488"/>
      <c r="C260" s="488"/>
      <c r="D260" s="488"/>
      <c r="E260" s="488"/>
      <c r="F260" s="488"/>
      <c r="G260" s="488" t="s">
        <v>1051</v>
      </c>
      <c r="H260" s="488"/>
      <c r="I260" s="488"/>
      <c r="J260" s="450">
        <v>0</v>
      </c>
    </row>
    <row r="261" spans="1:10">
      <c r="A261" s="488"/>
      <c r="B261" s="488"/>
      <c r="C261" s="488"/>
      <c r="D261" s="488"/>
      <c r="E261" s="488"/>
      <c r="F261" s="488"/>
      <c r="G261" s="488" t="s">
        <v>1052</v>
      </c>
      <c r="H261" s="488"/>
      <c r="I261" s="488"/>
      <c r="J261" s="450">
        <v>1</v>
      </c>
    </row>
    <row r="262" spans="1:10">
      <c r="A262" s="488"/>
      <c r="B262" s="488"/>
      <c r="C262" s="488"/>
      <c r="D262" s="488"/>
      <c r="E262" s="488"/>
      <c r="F262" s="488"/>
      <c r="G262" s="488" t="s">
        <v>1053</v>
      </c>
      <c r="H262" s="488"/>
      <c r="I262" s="488"/>
      <c r="J262" s="450">
        <v>3.7800000000000002</v>
      </c>
    </row>
    <row r="263" spans="1:10" ht="27.6" customHeight="1">
      <c r="A263" s="265" t="s">
        <v>80</v>
      </c>
      <c r="B263" s="266" t="s">
        <v>58</v>
      </c>
      <c r="C263" s="265" t="s">
        <v>59</v>
      </c>
      <c r="D263" s="265" t="s">
        <v>1077</v>
      </c>
      <c r="E263" s="266" t="s">
        <v>1054</v>
      </c>
      <c r="F263" s="266" t="s">
        <v>1055</v>
      </c>
      <c r="G263" s="565" t="s">
        <v>1056</v>
      </c>
      <c r="H263" s="565"/>
      <c r="I263" s="565"/>
      <c r="J263" s="266" t="s">
        <v>78</v>
      </c>
    </row>
    <row r="264" spans="1:10" ht="22.2" customHeight="1">
      <c r="A264" s="279" t="s">
        <v>465</v>
      </c>
      <c r="B264" s="280" t="s">
        <v>1071</v>
      </c>
      <c r="C264" s="279" t="s">
        <v>1078</v>
      </c>
      <c r="D264" s="279" t="s">
        <v>1079</v>
      </c>
      <c r="E264" s="282">
        <v>1</v>
      </c>
      <c r="F264" s="281" t="s">
        <v>273</v>
      </c>
      <c r="G264" s="566">
        <v>3.13</v>
      </c>
      <c r="H264" s="566"/>
      <c r="I264" s="566"/>
      <c r="J264" s="293">
        <v>3.13</v>
      </c>
    </row>
    <row r="265" spans="1:10">
      <c r="A265" s="488"/>
      <c r="B265" s="488"/>
      <c r="C265" s="488"/>
      <c r="D265" s="488"/>
      <c r="E265" s="488"/>
      <c r="F265" s="488"/>
      <c r="G265" s="488" t="s">
        <v>495</v>
      </c>
      <c r="H265" s="488"/>
      <c r="I265" s="488"/>
      <c r="J265" s="450">
        <v>3.13</v>
      </c>
    </row>
    <row r="266" spans="1:10">
      <c r="A266" s="446"/>
      <c r="B266" s="446"/>
      <c r="C266" s="446"/>
      <c r="D266" s="446"/>
      <c r="E266" s="446"/>
      <c r="F266" s="447"/>
      <c r="G266" s="446"/>
      <c r="H266" s="447"/>
      <c r="I266" s="446"/>
      <c r="J266" s="447"/>
    </row>
    <row r="267" spans="1:10" ht="26.4" customHeight="1">
      <c r="A267" s="265" t="s">
        <v>1043</v>
      </c>
      <c r="B267" s="266" t="s">
        <v>59</v>
      </c>
      <c r="C267" s="265" t="s">
        <v>58</v>
      </c>
      <c r="D267" s="265" t="s">
        <v>74</v>
      </c>
      <c r="E267" s="556" t="s">
        <v>1048</v>
      </c>
      <c r="F267" s="556"/>
      <c r="G267" s="267" t="s">
        <v>69</v>
      </c>
      <c r="H267" s="266" t="s">
        <v>70</v>
      </c>
      <c r="I267" s="266" t="s">
        <v>67</v>
      </c>
      <c r="J267" s="266" t="s">
        <v>71</v>
      </c>
    </row>
    <row r="268" spans="1:10" ht="25.95" customHeight="1">
      <c r="A268" s="283" t="s">
        <v>461</v>
      </c>
      <c r="B268" s="284" t="s">
        <v>1044</v>
      </c>
      <c r="C268" s="283" t="s">
        <v>76</v>
      </c>
      <c r="D268" s="283" t="s">
        <v>1045</v>
      </c>
      <c r="E268" s="569" t="s">
        <v>1058</v>
      </c>
      <c r="F268" s="569"/>
      <c r="G268" s="285" t="s">
        <v>355</v>
      </c>
      <c r="H268" s="286">
        <v>1</v>
      </c>
      <c r="I268" s="292">
        <v>131.98000000000002</v>
      </c>
      <c r="J268" s="292">
        <v>131.97999999999999</v>
      </c>
    </row>
    <row r="269" spans="1:10" ht="26.4">
      <c r="A269" s="279" t="s">
        <v>462</v>
      </c>
      <c r="B269" s="280" t="s">
        <v>1059</v>
      </c>
      <c r="C269" s="279" t="s">
        <v>599</v>
      </c>
      <c r="D269" s="279" t="s">
        <v>1060</v>
      </c>
      <c r="E269" s="568" t="s">
        <v>1061</v>
      </c>
      <c r="F269" s="568"/>
      <c r="G269" s="281" t="s">
        <v>364</v>
      </c>
      <c r="H269" s="282">
        <v>0.04</v>
      </c>
      <c r="I269" s="449">
        <v>3016.87</v>
      </c>
      <c r="J269" s="449">
        <v>120.67</v>
      </c>
    </row>
    <row r="270" spans="1:10">
      <c r="A270" s="279" t="s">
        <v>465</v>
      </c>
      <c r="B270" s="280" t="s">
        <v>1062</v>
      </c>
      <c r="C270" s="279" t="s">
        <v>15</v>
      </c>
      <c r="D270" s="279" t="s">
        <v>1063</v>
      </c>
      <c r="E270" s="568" t="s">
        <v>1064</v>
      </c>
      <c r="F270" s="568"/>
      <c r="G270" s="281" t="s">
        <v>367</v>
      </c>
      <c r="H270" s="282">
        <v>0.13</v>
      </c>
      <c r="I270" s="449">
        <v>54.794899999999998</v>
      </c>
      <c r="J270" s="449">
        <v>7.12</v>
      </c>
    </row>
    <row r="271" spans="1:10">
      <c r="A271" s="279" t="s">
        <v>465</v>
      </c>
      <c r="B271" s="280" t="s">
        <v>1066</v>
      </c>
      <c r="C271" s="279" t="s">
        <v>15</v>
      </c>
      <c r="D271" s="279" t="s">
        <v>1067</v>
      </c>
      <c r="E271" s="568" t="s">
        <v>1064</v>
      </c>
      <c r="F271" s="568"/>
      <c r="G271" s="281" t="s">
        <v>367</v>
      </c>
      <c r="H271" s="282">
        <v>0.13</v>
      </c>
      <c r="I271" s="449">
        <v>32.220599999999997</v>
      </c>
      <c r="J271" s="449">
        <v>4.1900000000000004</v>
      </c>
    </row>
    <row r="272" spans="1:10">
      <c r="A272" s="446"/>
      <c r="B272" s="446"/>
      <c r="C272" s="446"/>
      <c r="D272" s="446"/>
      <c r="E272" s="446"/>
      <c r="F272" s="447"/>
      <c r="G272" s="446"/>
      <c r="H272" s="447"/>
      <c r="I272" s="446"/>
      <c r="J272" s="447"/>
    </row>
    <row r="273" spans="1:10" ht="26.4" customHeight="1">
      <c r="A273" s="265" t="s">
        <v>1046</v>
      </c>
      <c r="B273" s="266" t="s">
        <v>59</v>
      </c>
      <c r="C273" s="265" t="s">
        <v>58</v>
      </c>
      <c r="D273" s="265" t="s">
        <v>74</v>
      </c>
      <c r="E273" s="556" t="s">
        <v>1048</v>
      </c>
      <c r="F273" s="556"/>
      <c r="G273" s="267" t="s">
        <v>69</v>
      </c>
      <c r="H273" s="266" t="s">
        <v>70</v>
      </c>
      <c r="I273" s="266" t="s">
        <v>67</v>
      </c>
      <c r="J273" s="266" t="s">
        <v>71</v>
      </c>
    </row>
    <row r="274" spans="1:10" ht="25.95" customHeight="1">
      <c r="A274" s="283" t="s">
        <v>461</v>
      </c>
      <c r="B274" s="284" t="s">
        <v>1044</v>
      </c>
      <c r="C274" s="283" t="s">
        <v>76</v>
      </c>
      <c r="D274" s="283" t="s">
        <v>1047</v>
      </c>
      <c r="E274" s="569" t="s">
        <v>1058</v>
      </c>
      <c r="F274" s="569"/>
      <c r="G274" s="285" t="s">
        <v>355</v>
      </c>
      <c r="H274" s="286">
        <v>1</v>
      </c>
      <c r="I274" s="292">
        <v>131.98000000000002</v>
      </c>
      <c r="J274" s="292">
        <v>131.97999999999999</v>
      </c>
    </row>
    <row r="275" spans="1:10" ht="26.4">
      <c r="A275" s="279" t="s">
        <v>462</v>
      </c>
      <c r="B275" s="280" t="s">
        <v>1059</v>
      </c>
      <c r="C275" s="279" t="s">
        <v>599</v>
      </c>
      <c r="D275" s="279" t="s">
        <v>1060</v>
      </c>
      <c r="E275" s="568" t="s">
        <v>1061</v>
      </c>
      <c r="F275" s="568"/>
      <c r="G275" s="281" t="s">
        <v>364</v>
      </c>
      <c r="H275" s="282">
        <v>0.04</v>
      </c>
      <c r="I275" s="449">
        <v>3016.87</v>
      </c>
      <c r="J275" s="449">
        <v>120.67</v>
      </c>
    </row>
    <row r="276" spans="1:10">
      <c r="A276" s="279" t="s">
        <v>465</v>
      </c>
      <c r="B276" s="280" t="s">
        <v>1062</v>
      </c>
      <c r="C276" s="279" t="s">
        <v>15</v>
      </c>
      <c r="D276" s="279" t="s">
        <v>1063</v>
      </c>
      <c r="E276" s="568" t="s">
        <v>1064</v>
      </c>
      <c r="F276" s="568"/>
      <c r="G276" s="281" t="s">
        <v>367</v>
      </c>
      <c r="H276" s="282">
        <v>0.13</v>
      </c>
      <c r="I276" s="449">
        <v>54.794899999999998</v>
      </c>
      <c r="J276" s="449">
        <v>7.12</v>
      </c>
    </row>
    <row r="277" spans="1:10">
      <c r="A277" s="279" t="s">
        <v>465</v>
      </c>
      <c r="B277" s="280" t="s">
        <v>1066</v>
      </c>
      <c r="C277" s="279" t="s">
        <v>15</v>
      </c>
      <c r="D277" s="279" t="s">
        <v>1067</v>
      </c>
      <c r="E277" s="568" t="s">
        <v>1064</v>
      </c>
      <c r="F277" s="568"/>
      <c r="G277" s="281" t="s">
        <v>367</v>
      </c>
      <c r="H277" s="282">
        <v>0.13</v>
      </c>
      <c r="I277" s="449">
        <v>32.220599999999997</v>
      </c>
      <c r="J277" s="449">
        <v>4.1900000000000004</v>
      </c>
    </row>
    <row r="278" spans="1:10">
      <c r="A278" s="446"/>
      <c r="B278" s="446"/>
      <c r="C278" s="446"/>
      <c r="D278" s="446"/>
      <c r="E278" s="446"/>
      <c r="F278" s="447"/>
      <c r="G278" s="446"/>
      <c r="H278" s="447"/>
      <c r="I278" s="446"/>
      <c r="J278" s="447"/>
    </row>
  </sheetData>
  <mergeCells count="162">
    <mergeCell ref="G163:I163"/>
    <mergeCell ref="G164:I164"/>
    <mergeCell ref="G201:I201"/>
    <mergeCell ref="G202:I202"/>
    <mergeCell ref="G162:I162"/>
    <mergeCell ref="E276:F276"/>
    <mergeCell ref="E277:F277"/>
    <mergeCell ref="E271:F271"/>
    <mergeCell ref="E273:F273"/>
    <mergeCell ref="E274:F274"/>
    <mergeCell ref="E275:F275"/>
    <mergeCell ref="E267:F267"/>
    <mergeCell ref="E268:F268"/>
    <mergeCell ref="E269:F269"/>
    <mergeCell ref="E270:F270"/>
    <mergeCell ref="A262:F262"/>
    <mergeCell ref="G262:I262"/>
    <mergeCell ref="G263:I263"/>
    <mergeCell ref="G264:I264"/>
    <mergeCell ref="A265:F265"/>
    <mergeCell ref="G265:I265"/>
    <mergeCell ref="A259:F259"/>
    <mergeCell ref="G259:I259"/>
    <mergeCell ref="A260:F260"/>
    <mergeCell ref="G260:I260"/>
    <mergeCell ref="A261:F261"/>
    <mergeCell ref="G261:I261"/>
    <mergeCell ref="F253:I253"/>
    <mergeCell ref="A257:F257"/>
    <mergeCell ref="G257:I257"/>
    <mergeCell ref="A258:F258"/>
    <mergeCell ref="G258:I258"/>
    <mergeCell ref="F254:I254"/>
    <mergeCell ref="F255:I255"/>
    <mergeCell ref="F256:I256"/>
    <mergeCell ref="E248:F248"/>
    <mergeCell ref="E249:F249"/>
    <mergeCell ref="E251:F251"/>
    <mergeCell ref="E252:F252"/>
    <mergeCell ref="E243:F243"/>
    <mergeCell ref="E244:F244"/>
    <mergeCell ref="E246:F246"/>
    <mergeCell ref="E247:F247"/>
    <mergeCell ref="E238:F238"/>
    <mergeCell ref="E239:F239"/>
    <mergeCell ref="E241:F241"/>
    <mergeCell ref="E242:F242"/>
    <mergeCell ref="E233:F233"/>
    <mergeCell ref="E234:F234"/>
    <mergeCell ref="E236:F236"/>
    <mergeCell ref="E237:F237"/>
    <mergeCell ref="E228:F228"/>
    <mergeCell ref="E229:F229"/>
    <mergeCell ref="E231:F231"/>
    <mergeCell ref="E232:F232"/>
    <mergeCell ref="E223:F223"/>
    <mergeCell ref="E224:F224"/>
    <mergeCell ref="E226:F226"/>
    <mergeCell ref="E227:F227"/>
    <mergeCell ref="E218:F218"/>
    <mergeCell ref="E220:F220"/>
    <mergeCell ref="E221:F221"/>
    <mergeCell ref="E222:F222"/>
    <mergeCell ref="E214:F214"/>
    <mergeCell ref="E215:F215"/>
    <mergeCell ref="E216:F216"/>
    <mergeCell ref="E217:F217"/>
    <mergeCell ref="A209:F209"/>
    <mergeCell ref="G209:I209"/>
    <mergeCell ref="G210:I210"/>
    <mergeCell ref="G211:I211"/>
    <mergeCell ref="A212:F212"/>
    <mergeCell ref="G212:I212"/>
    <mergeCell ref="A206:F206"/>
    <mergeCell ref="G206:I206"/>
    <mergeCell ref="A207:F207"/>
    <mergeCell ref="G207:I207"/>
    <mergeCell ref="A208:F208"/>
    <mergeCell ref="G208:I208"/>
    <mergeCell ref="F200:I200"/>
    <mergeCell ref="A204:F204"/>
    <mergeCell ref="G204:I204"/>
    <mergeCell ref="A205:F205"/>
    <mergeCell ref="G205:I205"/>
    <mergeCell ref="G203:I203"/>
    <mergeCell ref="E195:F195"/>
    <mergeCell ref="E196:F196"/>
    <mergeCell ref="E198:F198"/>
    <mergeCell ref="E199:F199"/>
    <mergeCell ref="E190:F190"/>
    <mergeCell ref="E192:F192"/>
    <mergeCell ref="E193:F193"/>
    <mergeCell ref="E194:F194"/>
    <mergeCell ref="E186:F186"/>
    <mergeCell ref="E187:F187"/>
    <mergeCell ref="E188:F188"/>
    <mergeCell ref="E189:F189"/>
    <mergeCell ref="E181:F181"/>
    <mergeCell ref="E182:F182"/>
    <mergeCell ref="E183:F183"/>
    <mergeCell ref="E184:F184"/>
    <mergeCell ref="E175:F175"/>
    <mergeCell ref="E176:F176"/>
    <mergeCell ref="E177:F177"/>
    <mergeCell ref="E178:F178"/>
    <mergeCell ref="E179:F179"/>
    <mergeCell ref="G171:I171"/>
    <mergeCell ref="G172:I172"/>
    <mergeCell ref="A173:F173"/>
    <mergeCell ref="G173:I173"/>
    <mergeCell ref="A168:F168"/>
    <mergeCell ref="G168:I168"/>
    <mergeCell ref="A169:F169"/>
    <mergeCell ref="G169:I169"/>
    <mergeCell ref="A170:F170"/>
    <mergeCell ref="G170:I170"/>
    <mergeCell ref="A165:F165"/>
    <mergeCell ref="G165:I165"/>
    <mergeCell ref="A166:F166"/>
    <mergeCell ref="G166:I166"/>
    <mergeCell ref="A167:F167"/>
    <mergeCell ref="G167:I167"/>
    <mergeCell ref="E157:F157"/>
    <mergeCell ref="E159:F159"/>
    <mergeCell ref="E160:F160"/>
    <mergeCell ref="F161:I161"/>
    <mergeCell ref="E152:F152"/>
    <mergeCell ref="E154:F154"/>
    <mergeCell ref="E155:F155"/>
    <mergeCell ref="E156:F156"/>
    <mergeCell ref="E147:F147"/>
    <mergeCell ref="E148:F148"/>
    <mergeCell ref="E149:F149"/>
    <mergeCell ref="E150:F150"/>
    <mergeCell ref="E151:F151"/>
    <mergeCell ref="A145:F145"/>
    <mergeCell ref="G142:I142"/>
    <mergeCell ref="G143:I143"/>
    <mergeCell ref="G144:I144"/>
    <mergeCell ref="G145:I145"/>
    <mergeCell ref="A139:F139"/>
    <mergeCell ref="A140:F140"/>
    <mergeCell ref="A141:F141"/>
    <mergeCell ref="G139:I139"/>
    <mergeCell ref="G140:I140"/>
    <mergeCell ref="G141:I141"/>
    <mergeCell ref="E135:F135"/>
    <mergeCell ref="E136:F136"/>
    <mergeCell ref="A137:F137"/>
    <mergeCell ref="A138:F138"/>
    <mergeCell ref="G137:I137"/>
    <mergeCell ref="G138:I138"/>
    <mergeCell ref="A3:H3"/>
    <mergeCell ref="E1:F1"/>
    <mergeCell ref="E2:F2"/>
    <mergeCell ref="A106:D106"/>
    <mergeCell ref="E106:G106"/>
    <mergeCell ref="A103:D103"/>
    <mergeCell ref="E103:G103"/>
    <mergeCell ref="F28:G28"/>
    <mergeCell ref="A29:H29"/>
    <mergeCell ref="C2:D2"/>
  </mergeCells>
  <pageMargins left="0.51181102362204722" right="0.51181102362204722" top="0.98425196850393704" bottom="0.98425196850393704" header="0.51181102362204722" footer="0.51181102362204722"/>
  <pageSetup paperSize="9" scale="71" fitToHeight="0" orientation="landscape" r:id="rId1"/>
  <headerFooter>
    <oddHeader>&amp;L &amp;C  Prefeitura Municipal de Barreirinhas
CNPJ: 06.217.954/0001-37
 Av. Joaquim Soeiro de Carvalho, 533, Barreirinhas/MA, CEP 65590-000</oddHeader>
    <oddFooter>&amp;L &amp;C
 &amp;R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O40"/>
  <sheetViews>
    <sheetView showGridLines="0" tabSelected="1" showOutlineSymbols="0" showWhiteSpace="0" view="pageBreakPreview" topLeftCell="C1" zoomScale="90" zoomScaleNormal="100" zoomScaleSheetLayoutView="90" workbookViewId="0">
      <selection activeCell="F2" sqref="F2:G2"/>
    </sheetView>
  </sheetViews>
  <sheetFormatPr defaultColWidth="8.88671875" defaultRowHeight="13.8"/>
  <cols>
    <col min="1" max="1" width="22.33203125" style="110" bestFit="1" customWidth="1"/>
    <col min="2" max="2" width="66.6640625" style="110" bestFit="1" customWidth="1"/>
    <col min="3" max="3" width="22.33203125" style="110" bestFit="1" customWidth="1"/>
    <col min="4" max="4" width="14.33203125" style="110" bestFit="1" customWidth="1"/>
    <col min="5" max="5" width="15.6640625" style="110" bestFit="1" customWidth="1"/>
    <col min="6" max="13" width="15.6640625" style="110" customWidth="1"/>
    <col min="14" max="14" width="18.88671875" style="110" customWidth="1"/>
    <col min="15" max="15" width="14.33203125" style="110" bestFit="1" customWidth="1"/>
    <col min="16" max="30" width="13.33203125" style="110" bestFit="1" customWidth="1"/>
    <col min="31" max="16384" width="8.88671875" style="110"/>
  </cols>
  <sheetData>
    <row r="1" spans="1:15">
      <c r="A1" s="210"/>
      <c r="B1" s="210" t="s">
        <v>348</v>
      </c>
      <c r="C1" s="210" t="s">
        <v>424</v>
      </c>
      <c r="D1" s="492" t="s">
        <v>425</v>
      </c>
      <c r="E1" s="492"/>
      <c r="F1" s="492" t="s">
        <v>349</v>
      </c>
      <c r="G1" s="492"/>
    </row>
    <row r="2" spans="1:15" ht="94.95" customHeight="1">
      <c r="A2" s="211"/>
      <c r="B2" s="211" t="s">
        <v>1102</v>
      </c>
      <c r="C2" s="211" t="s">
        <v>986</v>
      </c>
      <c r="D2" s="493">
        <v>0.24229999999999999</v>
      </c>
      <c r="E2" s="491"/>
      <c r="F2" s="491" t="s">
        <v>427</v>
      </c>
      <c r="G2" s="491"/>
    </row>
    <row r="3" spans="1:15" ht="21.6" customHeight="1">
      <c r="A3" s="581" t="s">
        <v>192</v>
      </c>
      <c r="B3" s="581"/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581"/>
    </row>
    <row r="4" spans="1:15" s="451" customFormat="1" ht="24" customHeight="1">
      <c r="A4" s="452" t="s">
        <v>428</v>
      </c>
      <c r="B4" s="452" t="s">
        <v>74</v>
      </c>
      <c r="C4" s="453" t="s">
        <v>1082</v>
      </c>
      <c r="D4" s="453" t="s">
        <v>1083</v>
      </c>
      <c r="E4" s="453" t="s">
        <v>1084</v>
      </c>
      <c r="F4" s="453" t="s">
        <v>1085</v>
      </c>
      <c r="G4" s="453" t="s">
        <v>1086</v>
      </c>
      <c r="H4" s="453" t="s">
        <v>1087</v>
      </c>
      <c r="I4" s="453" t="s">
        <v>1088</v>
      </c>
      <c r="J4" s="453" t="s">
        <v>1089</v>
      </c>
      <c r="K4" s="453" t="s">
        <v>1090</v>
      </c>
      <c r="L4" s="453" t="s">
        <v>1091</v>
      </c>
      <c r="M4" s="453" t="s">
        <v>1092</v>
      </c>
    </row>
    <row r="5" spans="1:15" s="334" customFormat="1">
      <c r="A5" s="579">
        <v>1</v>
      </c>
      <c r="B5" s="579" t="s">
        <v>430</v>
      </c>
      <c r="C5" s="463">
        <f>SUM(D5:M5)</f>
        <v>3.6603892436656751E-2</v>
      </c>
      <c r="D5" s="463">
        <f>D6/$C$33</f>
        <v>3.6603892436656753E-3</v>
      </c>
      <c r="E5" s="463">
        <f t="shared" ref="E5:M5" si="0">E6/$C$33</f>
        <v>3.6603892436656753E-3</v>
      </c>
      <c r="F5" s="463">
        <f t="shared" si="0"/>
        <v>3.6603892436656753E-3</v>
      </c>
      <c r="G5" s="463">
        <f t="shared" si="0"/>
        <v>3.6603892436656753E-3</v>
      </c>
      <c r="H5" s="463">
        <f t="shared" si="0"/>
        <v>3.6603892436656753E-3</v>
      </c>
      <c r="I5" s="463">
        <f t="shared" si="0"/>
        <v>3.6603892436656753E-3</v>
      </c>
      <c r="J5" s="463">
        <f t="shared" si="0"/>
        <v>3.6603892436656753E-3</v>
      </c>
      <c r="K5" s="463">
        <f t="shared" si="0"/>
        <v>3.6603892436656753E-3</v>
      </c>
      <c r="L5" s="463">
        <f t="shared" si="0"/>
        <v>3.6603892436656753E-3</v>
      </c>
      <c r="M5" s="463">
        <f t="shared" si="0"/>
        <v>3.6603892436656753E-3</v>
      </c>
    </row>
    <row r="6" spans="1:15" s="334" customFormat="1">
      <c r="A6" s="579"/>
      <c r="B6" s="579"/>
      <c r="C6" s="454">
        <f>SUM(D6:M6)</f>
        <v>220232.01</v>
      </c>
      <c r="D6" s="454">
        <f>SUM(D8)</f>
        <v>22023.201000000001</v>
      </c>
      <c r="E6" s="454">
        <f t="shared" ref="E6:M6" si="1">SUM(E8)</f>
        <v>22023.201000000001</v>
      </c>
      <c r="F6" s="454">
        <f t="shared" si="1"/>
        <v>22023.201000000001</v>
      </c>
      <c r="G6" s="454">
        <f t="shared" si="1"/>
        <v>22023.201000000001</v>
      </c>
      <c r="H6" s="454">
        <f t="shared" si="1"/>
        <v>22023.201000000001</v>
      </c>
      <c r="I6" s="454">
        <f t="shared" si="1"/>
        <v>22023.201000000001</v>
      </c>
      <c r="J6" s="454">
        <f t="shared" si="1"/>
        <v>22023.201000000001</v>
      </c>
      <c r="K6" s="454">
        <f t="shared" si="1"/>
        <v>22023.201000000001</v>
      </c>
      <c r="L6" s="454">
        <f t="shared" si="1"/>
        <v>22023.201000000001</v>
      </c>
      <c r="M6" s="454">
        <f t="shared" si="1"/>
        <v>22023.201000000001</v>
      </c>
      <c r="N6" s="340"/>
    </row>
    <row r="7" spans="1:15">
      <c r="A7" s="580" t="s">
        <v>26</v>
      </c>
      <c r="B7" s="580" t="s">
        <v>1094</v>
      </c>
      <c r="C7" s="455">
        <f>SUM(D7:M7)</f>
        <v>0.99999999999999989</v>
      </c>
      <c r="D7" s="456">
        <v>0.1</v>
      </c>
      <c r="E7" s="456">
        <v>0.1</v>
      </c>
      <c r="F7" s="456">
        <v>0.1</v>
      </c>
      <c r="G7" s="456">
        <v>0.1</v>
      </c>
      <c r="H7" s="456">
        <v>0.1</v>
      </c>
      <c r="I7" s="456">
        <v>0.1</v>
      </c>
      <c r="J7" s="456">
        <v>0.1</v>
      </c>
      <c r="K7" s="456">
        <v>0.1</v>
      </c>
      <c r="L7" s="456">
        <v>0.1</v>
      </c>
      <c r="M7" s="456">
        <v>0.1</v>
      </c>
    </row>
    <row r="8" spans="1:15">
      <c r="A8" s="580"/>
      <c r="B8" s="580"/>
      <c r="C8" s="457">
        <f>'Serviços Preliminares'!I5</f>
        <v>220232.01</v>
      </c>
      <c r="D8" s="458">
        <f>$C$8*D7</f>
        <v>22023.201000000001</v>
      </c>
      <c r="E8" s="458">
        <f t="shared" ref="E8:M8" si="2">$C$8*E7</f>
        <v>22023.201000000001</v>
      </c>
      <c r="F8" s="458">
        <f t="shared" si="2"/>
        <v>22023.201000000001</v>
      </c>
      <c r="G8" s="458">
        <f t="shared" si="2"/>
        <v>22023.201000000001</v>
      </c>
      <c r="H8" s="458">
        <f t="shared" si="2"/>
        <v>22023.201000000001</v>
      </c>
      <c r="I8" s="458">
        <f t="shared" si="2"/>
        <v>22023.201000000001</v>
      </c>
      <c r="J8" s="458">
        <f t="shared" si="2"/>
        <v>22023.201000000001</v>
      </c>
      <c r="K8" s="458">
        <f t="shared" si="2"/>
        <v>22023.201000000001</v>
      </c>
      <c r="L8" s="458">
        <f t="shared" si="2"/>
        <v>22023.201000000001</v>
      </c>
      <c r="M8" s="458">
        <f t="shared" si="2"/>
        <v>22023.201000000001</v>
      </c>
      <c r="N8" s="322">
        <v>220232.01</v>
      </c>
      <c r="O8" s="110" t="b">
        <v>1</v>
      </c>
    </row>
    <row r="9" spans="1:15" s="334" customFormat="1">
      <c r="A9" s="579">
        <v>2</v>
      </c>
      <c r="B9" s="579" t="s">
        <v>1102</v>
      </c>
      <c r="C9" s="463">
        <f>SUM(D9:M9)</f>
        <v>0.73815989486044631</v>
      </c>
      <c r="D9" s="463">
        <f>D10/$C$33</f>
        <v>7.3815989486044634E-2</v>
      </c>
      <c r="E9" s="463">
        <f t="shared" ref="E9:M9" si="3">E10/$C$33</f>
        <v>7.3815989486044634E-2</v>
      </c>
      <c r="F9" s="463">
        <f t="shared" si="3"/>
        <v>7.3815989486044634E-2</v>
      </c>
      <c r="G9" s="463">
        <f t="shared" si="3"/>
        <v>7.3815989486044634E-2</v>
      </c>
      <c r="H9" s="463">
        <f t="shared" si="3"/>
        <v>7.3815989486044634E-2</v>
      </c>
      <c r="I9" s="463">
        <f t="shared" si="3"/>
        <v>7.3815989486044634E-2</v>
      </c>
      <c r="J9" s="463">
        <f t="shared" si="3"/>
        <v>7.3815989486044634E-2</v>
      </c>
      <c r="K9" s="463">
        <f t="shared" si="3"/>
        <v>7.3815989486044634E-2</v>
      </c>
      <c r="L9" s="463">
        <f t="shared" si="3"/>
        <v>7.3815989486044634E-2</v>
      </c>
      <c r="M9" s="463">
        <f t="shared" si="3"/>
        <v>7.3815989486044634E-2</v>
      </c>
    </row>
    <row r="10" spans="1:15" s="334" customFormat="1">
      <c r="A10" s="579"/>
      <c r="B10" s="579"/>
      <c r="C10" s="454">
        <f>SUM(D10:M10)</f>
        <v>4441233.6099999994</v>
      </c>
      <c r="D10" s="454">
        <f>SUM(D12,D14,D16,D18,D20)</f>
        <v>444123.36099999998</v>
      </c>
      <c r="E10" s="454">
        <f t="shared" ref="E10:M10" si="4">SUM(E12,E14,E16,E18,E20)</f>
        <v>444123.36099999998</v>
      </c>
      <c r="F10" s="454">
        <f t="shared" si="4"/>
        <v>444123.36099999998</v>
      </c>
      <c r="G10" s="454">
        <f t="shared" si="4"/>
        <v>444123.36099999998</v>
      </c>
      <c r="H10" s="454">
        <f t="shared" si="4"/>
        <v>444123.36099999998</v>
      </c>
      <c r="I10" s="454">
        <f t="shared" si="4"/>
        <v>444123.36099999998</v>
      </c>
      <c r="J10" s="454">
        <f t="shared" si="4"/>
        <v>444123.36099999998</v>
      </c>
      <c r="K10" s="454">
        <f t="shared" si="4"/>
        <v>444123.36099999998</v>
      </c>
      <c r="L10" s="454">
        <f t="shared" si="4"/>
        <v>444123.36099999998</v>
      </c>
      <c r="M10" s="454">
        <f t="shared" si="4"/>
        <v>444123.36099999998</v>
      </c>
    </row>
    <row r="11" spans="1:15">
      <c r="A11" s="580" t="s">
        <v>26</v>
      </c>
      <c r="B11" s="580" t="s">
        <v>433</v>
      </c>
      <c r="C11" s="455">
        <f>SUM(D11:M11)</f>
        <v>0.99999999999999989</v>
      </c>
      <c r="D11" s="456">
        <v>0.1</v>
      </c>
      <c r="E11" s="456">
        <v>0.1</v>
      </c>
      <c r="F11" s="456">
        <v>0.1</v>
      </c>
      <c r="G11" s="456">
        <v>0.1</v>
      </c>
      <c r="H11" s="456">
        <v>0.1</v>
      </c>
      <c r="I11" s="456">
        <v>0.1</v>
      </c>
      <c r="J11" s="456">
        <v>0.1</v>
      </c>
      <c r="K11" s="456">
        <v>0.1</v>
      </c>
      <c r="L11" s="456">
        <v>0.1</v>
      </c>
      <c r="M11" s="456">
        <v>0.1</v>
      </c>
    </row>
    <row r="12" spans="1:15">
      <c r="A12" s="580"/>
      <c r="B12" s="580"/>
      <c r="C12" s="457">
        <f>'Orçamento Ata Pontes'!I6</f>
        <v>30184.42</v>
      </c>
      <c r="D12" s="458">
        <f>$C$12*D11</f>
        <v>3018.442</v>
      </c>
      <c r="E12" s="458">
        <f t="shared" ref="E12:M12" si="5">$C$12*E11</f>
        <v>3018.442</v>
      </c>
      <c r="F12" s="458">
        <f t="shared" si="5"/>
        <v>3018.442</v>
      </c>
      <c r="G12" s="458">
        <f t="shared" si="5"/>
        <v>3018.442</v>
      </c>
      <c r="H12" s="458">
        <f t="shared" si="5"/>
        <v>3018.442</v>
      </c>
      <c r="I12" s="458">
        <f t="shared" si="5"/>
        <v>3018.442</v>
      </c>
      <c r="J12" s="458">
        <f t="shared" si="5"/>
        <v>3018.442</v>
      </c>
      <c r="K12" s="458">
        <f t="shared" si="5"/>
        <v>3018.442</v>
      </c>
      <c r="L12" s="458">
        <f t="shared" si="5"/>
        <v>3018.442</v>
      </c>
      <c r="M12" s="458">
        <f t="shared" si="5"/>
        <v>3018.442</v>
      </c>
      <c r="N12" s="322">
        <v>30184.419999999995</v>
      </c>
      <c r="O12" s="110" t="b">
        <v>1</v>
      </c>
    </row>
    <row r="13" spans="1:15">
      <c r="A13" s="580" t="s">
        <v>274</v>
      </c>
      <c r="B13" s="580" t="s">
        <v>370</v>
      </c>
      <c r="C13" s="455">
        <f>SUM(D13:M13)</f>
        <v>0.99999999999999989</v>
      </c>
      <c r="D13" s="456">
        <v>0.1</v>
      </c>
      <c r="E13" s="456">
        <v>0.1</v>
      </c>
      <c r="F13" s="456">
        <v>0.1</v>
      </c>
      <c r="G13" s="456">
        <v>0.1</v>
      </c>
      <c r="H13" s="456">
        <v>0.1</v>
      </c>
      <c r="I13" s="456">
        <v>0.1</v>
      </c>
      <c r="J13" s="456">
        <v>0.1</v>
      </c>
      <c r="K13" s="456">
        <v>0.1</v>
      </c>
      <c r="L13" s="456">
        <v>0.1</v>
      </c>
      <c r="M13" s="456">
        <v>0.1</v>
      </c>
    </row>
    <row r="14" spans="1:15">
      <c r="A14" s="580"/>
      <c r="B14" s="580"/>
      <c r="C14" s="457">
        <f>'Orçamento Ata Pontes'!I13</f>
        <v>49381.56</v>
      </c>
      <c r="D14" s="458">
        <f>$C$14*D13</f>
        <v>4938.1559999999999</v>
      </c>
      <c r="E14" s="458">
        <f t="shared" ref="E14:M14" si="6">$C$14*E13</f>
        <v>4938.1559999999999</v>
      </c>
      <c r="F14" s="458">
        <f t="shared" si="6"/>
        <v>4938.1559999999999</v>
      </c>
      <c r="G14" s="458">
        <f t="shared" si="6"/>
        <v>4938.1559999999999</v>
      </c>
      <c r="H14" s="458">
        <f t="shared" si="6"/>
        <v>4938.1559999999999</v>
      </c>
      <c r="I14" s="458">
        <f t="shared" si="6"/>
        <v>4938.1559999999999</v>
      </c>
      <c r="J14" s="458">
        <f t="shared" si="6"/>
        <v>4938.1559999999999</v>
      </c>
      <c r="K14" s="458">
        <f t="shared" si="6"/>
        <v>4938.1559999999999</v>
      </c>
      <c r="L14" s="458">
        <f t="shared" si="6"/>
        <v>4938.1559999999999</v>
      </c>
      <c r="M14" s="458">
        <f t="shared" si="6"/>
        <v>4938.1559999999999</v>
      </c>
      <c r="N14" s="322">
        <v>49381.560000000005</v>
      </c>
      <c r="O14" s="110" t="b">
        <v>1</v>
      </c>
    </row>
    <row r="15" spans="1:15">
      <c r="A15" s="580" t="s">
        <v>278</v>
      </c>
      <c r="B15" s="580" t="s">
        <v>1106</v>
      </c>
      <c r="C15" s="455">
        <f>SUM(D15:M15)</f>
        <v>0.99999999999999989</v>
      </c>
      <c r="D15" s="456">
        <v>0.1</v>
      </c>
      <c r="E15" s="456">
        <v>0.1</v>
      </c>
      <c r="F15" s="456">
        <v>0.1</v>
      </c>
      <c r="G15" s="456">
        <v>0.1</v>
      </c>
      <c r="H15" s="456">
        <v>0.1</v>
      </c>
      <c r="I15" s="456">
        <v>0.1</v>
      </c>
      <c r="J15" s="456">
        <v>0.1</v>
      </c>
      <c r="K15" s="456">
        <v>0.1</v>
      </c>
      <c r="L15" s="456">
        <v>0.1</v>
      </c>
      <c r="M15" s="456">
        <v>0.1</v>
      </c>
    </row>
    <row r="16" spans="1:15">
      <c r="A16" s="580"/>
      <c r="B16" s="580"/>
      <c r="C16" s="457">
        <f>'Orçamento Ata Pontes'!I19</f>
        <v>2237897.7999999998</v>
      </c>
      <c r="D16" s="458">
        <f>$C$16*D15</f>
        <v>223789.78</v>
      </c>
      <c r="E16" s="458">
        <f t="shared" ref="E16:M16" si="7">$C$16*E15</f>
        <v>223789.78</v>
      </c>
      <c r="F16" s="458">
        <f t="shared" si="7"/>
        <v>223789.78</v>
      </c>
      <c r="G16" s="458">
        <f t="shared" si="7"/>
        <v>223789.78</v>
      </c>
      <c r="H16" s="458">
        <f t="shared" si="7"/>
        <v>223789.78</v>
      </c>
      <c r="I16" s="458">
        <f t="shared" si="7"/>
        <v>223789.78</v>
      </c>
      <c r="J16" s="458">
        <f t="shared" si="7"/>
        <v>223789.78</v>
      </c>
      <c r="K16" s="458">
        <f t="shared" si="7"/>
        <v>223789.78</v>
      </c>
      <c r="L16" s="458">
        <f t="shared" si="7"/>
        <v>223789.78</v>
      </c>
      <c r="M16" s="458">
        <f t="shared" si="7"/>
        <v>223789.78</v>
      </c>
      <c r="N16" s="322">
        <v>2237897.7999999998</v>
      </c>
      <c r="O16" s="110" t="b">
        <v>1</v>
      </c>
    </row>
    <row r="17" spans="1:15">
      <c r="A17" s="580" t="s">
        <v>293</v>
      </c>
      <c r="B17" s="580" t="s">
        <v>373</v>
      </c>
      <c r="C17" s="455">
        <f>SUM(D17:M17)</f>
        <v>0.99999999999999989</v>
      </c>
      <c r="D17" s="456">
        <v>0.1</v>
      </c>
      <c r="E17" s="456">
        <v>0.1</v>
      </c>
      <c r="F17" s="456">
        <v>0.1</v>
      </c>
      <c r="G17" s="456">
        <v>0.1</v>
      </c>
      <c r="H17" s="456">
        <v>0.1</v>
      </c>
      <c r="I17" s="456">
        <v>0.1</v>
      </c>
      <c r="J17" s="456">
        <v>0.1</v>
      </c>
      <c r="K17" s="456">
        <v>0.1</v>
      </c>
      <c r="L17" s="456">
        <v>0.1</v>
      </c>
      <c r="M17" s="456">
        <v>0.1</v>
      </c>
    </row>
    <row r="18" spans="1:15">
      <c r="A18" s="580"/>
      <c r="B18" s="580"/>
      <c r="C18" s="457">
        <f>'Orçamento Ata Pontes'!I25</f>
        <v>2121309.2600000002</v>
      </c>
      <c r="D18" s="458">
        <f>$C$18*D17</f>
        <v>212130.92600000004</v>
      </c>
      <c r="E18" s="458">
        <f t="shared" ref="E18:M18" si="8">$C$18*E17</f>
        <v>212130.92600000004</v>
      </c>
      <c r="F18" s="458">
        <f t="shared" si="8"/>
        <v>212130.92600000004</v>
      </c>
      <c r="G18" s="458">
        <f t="shared" si="8"/>
        <v>212130.92600000004</v>
      </c>
      <c r="H18" s="458">
        <f t="shared" si="8"/>
        <v>212130.92600000004</v>
      </c>
      <c r="I18" s="458">
        <f t="shared" si="8"/>
        <v>212130.92600000004</v>
      </c>
      <c r="J18" s="458">
        <f t="shared" si="8"/>
        <v>212130.92600000004</v>
      </c>
      <c r="K18" s="458">
        <f t="shared" si="8"/>
        <v>212130.92600000004</v>
      </c>
      <c r="L18" s="458">
        <f t="shared" si="8"/>
        <v>212130.92600000004</v>
      </c>
      <c r="M18" s="458">
        <f t="shared" si="8"/>
        <v>212130.92600000004</v>
      </c>
      <c r="N18" s="322">
        <v>2121309.2600000002</v>
      </c>
      <c r="O18" s="110" t="b">
        <v>1</v>
      </c>
    </row>
    <row r="19" spans="1:15">
      <c r="A19" s="580" t="s">
        <v>459</v>
      </c>
      <c r="B19" s="580" t="s">
        <v>376</v>
      </c>
      <c r="C19" s="455">
        <f>SUM(D19:M19)</f>
        <v>0.99999999999999989</v>
      </c>
      <c r="D19" s="456">
        <v>0.1</v>
      </c>
      <c r="E19" s="456">
        <v>0.1</v>
      </c>
      <c r="F19" s="456">
        <v>0.1</v>
      </c>
      <c r="G19" s="456">
        <v>0.1</v>
      </c>
      <c r="H19" s="456">
        <v>0.1</v>
      </c>
      <c r="I19" s="456">
        <v>0.1</v>
      </c>
      <c r="J19" s="456">
        <v>0.1</v>
      </c>
      <c r="K19" s="456">
        <v>0.1</v>
      </c>
      <c r="L19" s="456">
        <v>0.1</v>
      </c>
      <c r="M19" s="456">
        <v>0.1</v>
      </c>
    </row>
    <row r="20" spans="1:15">
      <c r="A20" s="580"/>
      <c r="B20" s="580"/>
      <c r="C20" s="457">
        <f>'Orçamento Ata Pontes'!I30</f>
        <v>2460.5700000000002</v>
      </c>
      <c r="D20" s="458">
        <f>$C$20*D19</f>
        <v>246.05700000000002</v>
      </c>
      <c r="E20" s="458">
        <f t="shared" ref="E20:M20" si="9">$C$20*E19</f>
        <v>246.05700000000002</v>
      </c>
      <c r="F20" s="458">
        <f t="shared" si="9"/>
        <v>246.05700000000002</v>
      </c>
      <c r="G20" s="458">
        <f t="shared" si="9"/>
        <v>246.05700000000002</v>
      </c>
      <c r="H20" s="458">
        <f t="shared" si="9"/>
        <v>246.05700000000002</v>
      </c>
      <c r="I20" s="458">
        <f t="shared" si="9"/>
        <v>246.05700000000002</v>
      </c>
      <c r="J20" s="458">
        <f t="shared" si="9"/>
        <v>246.05700000000002</v>
      </c>
      <c r="K20" s="458">
        <f t="shared" si="9"/>
        <v>246.05700000000002</v>
      </c>
      <c r="L20" s="458">
        <f t="shared" si="9"/>
        <v>246.05700000000002</v>
      </c>
      <c r="M20" s="458">
        <f t="shared" si="9"/>
        <v>246.05700000000002</v>
      </c>
      <c r="N20" s="322">
        <v>2460.5699999999997</v>
      </c>
      <c r="O20" s="110" t="b">
        <v>1</v>
      </c>
    </row>
    <row r="21" spans="1:15" s="334" customFormat="1">
      <c r="A21" s="579" t="s">
        <v>987</v>
      </c>
      <c r="B21" s="579" t="s">
        <v>985</v>
      </c>
      <c r="C21" s="463">
        <f>SUM(D21:M21)</f>
        <v>0.22523621270289704</v>
      </c>
      <c r="D21" s="463">
        <f>D22/$C$33</f>
        <v>2.2523621270289708E-2</v>
      </c>
      <c r="E21" s="463">
        <f t="shared" ref="E21:M21" si="10">E22/$C$33</f>
        <v>2.2523621270289708E-2</v>
      </c>
      <c r="F21" s="463">
        <f t="shared" si="10"/>
        <v>2.2523621270289708E-2</v>
      </c>
      <c r="G21" s="463">
        <f t="shared" si="10"/>
        <v>2.2523621270289708E-2</v>
      </c>
      <c r="H21" s="463">
        <f t="shared" si="10"/>
        <v>2.2523621270289708E-2</v>
      </c>
      <c r="I21" s="463">
        <f t="shared" si="10"/>
        <v>2.2523621270289708E-2</v>
      </c>
      <c r="J21" s="463">
        <f t="shared" si="10"/>
        <v>2.2523621270289708E-2</v>
      </c>
      <c r="K21" s="463">
        <f t="shared" si="10"/>
        <v>2.2523621270289708E-2</v>
      </c>
      <c r="L21" s="463">
        <f t="shared" si="10"/>
        <v>2.2523621270289708E-2</v>
      </c>
      <c r="M21" s="463">
        <f t="shared" si="10"/>
        <v>2.2523621270289708E-2</v>
      </c>
    </row>
    <row r="22" spans="1:15" s="334" customFormat="1">
      <c r="A22" s="579"/>
      <c r="B22" s="579"/>
      <c r="C22" s="454">
        <f>SUM(D22:M22)</f>
        <v>1355162.5399999998</v>
      </c>
      <c r="D22" s="454">
        <f>SUM(D24,D26,D28,D30,D32)</f>
        <v>135516.25400000002</v>
      </c>
      <c r="E22" s="454">
        <f t="shared" ref="E22:M22" si="11">SUM(E24,E26,E28,E30,E32)</f>
        <v>135516.25400000002</v>
      </c>
      <c r="F22" s="454">
        <f t="shared" si="11"/>
        <v>135516.25400000002</v>
      </c>
      <c r="G22" s="454">
        <f t="shared" si="11"/>
        <v>135516.25400000002</v>
      </c>
      <c r="H22" s="454">
        <f t="shared" si="11"/>
        <v>135516.25400000002</v>
      </c>
      <c r="I22" s="454">
        <f t="shared" si="11"/>
        <v>135516.25400000002</v>
      </c>
      <c r="J22" s="454">
        <f t="shared" si="11"/>
        <v>135516.25400000002</v>
      </c>
      <c r="K22" s="454">
        <f t="shared" si="11"/>
        <v>135516.25400000002</v>
      </c>
      <c r="L22" s="454">
        <f t="shared" si="11"/>
        <v>135516.25400000002</v>
      </c>
      <c r="M22" s="454">
        <f t="shared" si="11"/>
        <v>135516.25400000002</v>
      </c>
    </row>
    <row r="23" spans="1:15">
      <c r="A23" s="580" t="s">
        <v>988</v>
      </c>
      <c r="B23" s="580" t="s">
        <v>989</v>
      </c>
      <c r="C23" s="455">
        <f>SUM(D23:M23)</f>
        <v>0.99999999999999989</v>
      </c>
      <c r="D23" s="456">
        <v>0.1</v>
      </c>
      <c r="E23" s="456">
        <v>0.1</v>
      </c>
      <c r="F23" s="456">
        <v>0.1</v>
      </c>
      <c r="G23" s="456">
        <v>0.1</v>
      </c>
      <c r="H23" s="456">
        <v>0.1</v>
      </c>
      <c r="I23" s="456">
        <v>0.1</v>
      </c>
      <c r="J23" s="456">
        <v>0.1</v>
      </c>
      <c r="K23" s="456">
        <v>0.1</v>
      </c>
      <c r="L23" s="456">
        <v>0.1</v>
      </c>
      <c r="M23" s="456">
        <v>0.1</v>
      </c>
    </row>
    <row r="24" spans="1:15">
      <c r="A24" s="580"/>
      <c r="B24" s="580"/>
      <c r="C24" s="457">
        <f>'Orçamento Ata Pontes'!I34</f>
        <v>63513.2</v>
      </c>
      <c r="D24" s="458">
        <f>$C$24*D23</f>
        <v>6351.32</v>
      </c>
      <c r="E24" s="458">
        <f t="shared" ref="E24:M24" si="12">$C$24*E23</f>
        <v>6351.32</v>
      </c>
      <c r="F24" s="458">
        <f t="shared" si="12"/>
        <v>6351.32</v>
      </c>
      <c r="G24" s="458">
        <f t="shared" si="12"/>
        <v>6351.32</v>
      </c>
      <c r="H24" s="458">
        <f t="shared" si="12"/>
        <v>6351.32</v>
      </c>
      <c r="I24" s="458">
        <f t="shared" si="12"/>
        <v>6351.32</v>
      </c>
      <c r="J24" s="458">
        <f t="shared" si="12"/>
        <v>6351.32</v>
      </c>
      <c r="K24" s="458">
        <f t="shared" si="12"/>
        <v>6351.32</v>
      </c>
      <c r="L24" s="458">
        <f t="shared" si="12"/>
        <v>6351.32</v>
      </c>
      <c r="M24" s="458">
        <f t="shared" si="12"/>
        <v>6351.32</v>
      </c>
      <c r="N24" s="322">
        <v>63513.2</v>
      </c>
      <c r="O24" s="110" t="b">
        <v>1</v>
      </c>
    </row>
    <row r="25" spans="1:15">
      <c r="A25" s="580" t="s">
        <v>994</v>
      </c>
      <c r="B25" s="580" t="s">
        <v>939</v>
      </c>
      <c r="C25" s="455">
        <f>SUM(D25:M25)</f>
        <v>0.99999999999999989</v>
      </c>
      <c r="D25" s="456">
        <v>0.1</v>
      </c>
      <c r="E25" s="456">
        <v>0.1</v>
      </c>
      <c r="F25" s="456">
        <v>0.1</v>
      </c>
      <c r="G25" s="456">
        <v>0.1</v>
      </c>
      <c r="H25" s="456">
        <v>0.1</v>
      </c>
      <c r="I25" s="456">
        <v>0.1</v>
      </c>
      <c r="J25" s="456">
        <v>0.1</v>
      </c>
      <c r="K25" s="456">
        <v>0.1</v>
      </c>
      <c r="L25" s="456">
        <v>0.1</v>
      </c>
      <c r="M25" s="456">
        <v>0.1</v>
      </c>
    </row>
    <row r="26" spans="1:15">
      <c r="A26" s="580"/>
      <c r="B26" s="580"/>
      <c r="C26" s="457">
        <f>'Orçamento Ata Pontes'!I36</f>
        <v>443227.84</v>
      </c>
      <c r="D26" s="458">
        <f>$C$26*D25</f>
        <v>44322.784000000007</v>
      </c>
      <c r="E26" s="458">
        <f t="shared" ref="E26:M26" si="13">$C$26*E25</f>
        <v>44322.784000000007</v>
      </c>
      <c r="F26" s="458">
        <f t="shared" si="13"/>
        <v>44322.784000000007</v>
      </c>
      <c r="G26" s="458">
        <f t="shared" si="13"/>
        <v>44322.784000000007</v>
      </c>
      <c r="H26" s="458">
        <f t="shared" si="13"/>
        <v>44322.784000000007</v>
      </c>
      <c r="I26" s="458">
        <f t="shared" si="13"/>
        <v>44322.784000000007</v>
      </c>
      <c r="J26" s="458">
        <f t="shared" si="13"/>
        <v>44322.784000000007</v>
      </c>
      <c r="K26" s="458">
        <f t="shared" si="13"/>
        <v>44322.784000000007</v>
      </c>
      <c r="L26" s="458">
        <f t="shared" si="13"/>
        <v>44322.784000000007</v>
      </c>
      <c r="M26" s="458">
        <f t="shared" si="13"/>
        <v>44322.784000000007</v>
      </c>
      <c r="N26" s="322">
        <v>443227.83999999997</v>
      </c>
      <c r="O26" s="110" t="b">
        <v>1</v>
      </c>
    </row>
    <row r="27" spans="1:15">
      <c r="A27" s="580" t="s">
        <v>1004</v>
      </c>
      <c r="B27" s="580" t="s">
        <v>948</v>
      </c>
      <c r="C27" s="455">
        <f>SUM(D27:M27)</f>
        <v>0.99999999999999989</v>
      </c>
      <c r="D27" s="456">
        <v>0.1</v>
      </c>
      <c r="E27" s="456">
        <v>0.1</v>
      </c>
      <c r="F27" s="456">
        <v>0.1</v>
      </c>
      <c r="G27" s="456">
        <v>0.1</v>
      </c>
      <c r="H27" s="456">
        <v>0.1</v>
      </c>
      <c r="I27" s="456">
        <v>0.1</v>
      </c>
      <c r="J27" s="456">
        <v>0.1</v>
      </c>
      <c r="K27" s="456">
        <v>0.1</v>
      </c>
      <c r="L27" s="456">
        <v>0.1</v>
      </c>
      <c r="M27" s="456">
        <v>0.1</v>
      </c>
    </row>
    <row r="28" spans="1:15">
      <c r="A28" s="580"/>
      <c r="B28" s="580"/>
      <c r="C28" s="457">
        <f>'Orçamento Ata Pontes'!I40</f>
        <v>383535.57999999996</v>
      </c>
      <c r="D28" s="458">
        <f>$C$28*D27</f>
        <v>38353.557999999997</v>
      </c>
      <c r="E28" s="458">
        <f t="shared" ref="E28:M28" si="14">$C$28*E27</f>
        <v>38353.557999999997</v>
      </c>
      <c r="F28" s="458">
        <f t="shared" si="14"/>
        <v>38353.557999999997</v>
      </c>
      <c r="G28" s="458">
        <f t="shared" si="14"/>
        <v>38353.557999999997</v>
      </c>
      <c r="H28" s="458">
        <f t="shared" si="14"/>
        <v>38353.557999999997</v>
      </c>
      <c r="I28" s="458">
        <f t="shared" si="14"/>
        <v>38353.557999999997</v>
      </c>
      <c r="J28" s="458">
        <f t="shared" si="14"/>
        <v>38353.557999999997</v>
      </c>
      <c r="K28" s="458">
        <f t="shared" si="14"/>
        <v>38353.557999999997</v>
      </c>
      <c r="L28" s="458">
        <f t="shared" si="14"/>
        <v>38353.557999999997</v>
      </c>
      <c r="M28" s="458">
        <f t="shared" si="14"/>
        <v>38353.557999999997</v>
      </c>
      <c r="N28" s="322">
        <v>383535.58</v>
      </c>
      <c r="O28" s="110" t="b">
        <v>1</v>
      </c>
    </row>
    <row r="29" spans="1:15">
      <c r="A29" s="580" t="s">
        <v>1018</v>
      </c>
      <c r="B29" s="580" t="s">
        <v>49</v>
      </c>
      <c r="C29" s="455">
        <f>SUM(D29:M29)</f>
        <v>0.99999999999999989</v>
      </c>
      <c r="D29" s="456">
        <v>0.1</v>
      </c>
      <c r="E29" s="456">
        <v>0.1</v>
      </c>
      <c r="F29" s="456">
        <v>0.1</v>
      </c>
      <c r="G29" s="456">
        <v>0.1</v>
      </c>
      <c r="H29" s="456">
        <v>0.1</v>
      </c>
      <c r="I29" s="456">
        <v>0.1</v>
      </c>
      <c r="J29" s="456">
        <v>0.1</v>
      </c>
      <c r="K29" s="456">
        <v>0.1</v>
      </c>
      <c r="L29" s="456">
        <v>0.1</v>
      </c>
      <c r="M29" s="456">
        <v>0.1</v>
      </c>
    </row>
    <row r="30" spans="1:15">
      <c r="A30" s="580"/>
      <c r="B30" s="580"/>
      <c r="C30" s="457">
        <f>'Orçamento Ata Pontes'!I46</f>
        <v>427331.61</v>
      </c>
      <c r="D30" s="458">
        <f>$C$30*D29</f>
        <v>42733.161</v>
      </c>
      <c r="E30" s="458">
        <f t="shared" ref="E30:M30" si="15">$C$30*E29</f>
        <v>42733.161</v>
      </c>
      <c r="F30" s="458">
        <f t="shared" si="15"/>
        <v>42733.161</v>
      </c>
      <c r="G30" s="458">
        <f t="shared" si="15"/>
        <v>42733.161</v>
      </c>
      <c r="H30" s="458">
        <f t="shared" si="15"/>
        <v>42733.161</v>
      </c>
      <c r="I30" s="458">
        <f t="shared" si="15"/>
        <v>42733.161</v>
      </c>
      <c r="J30" s="458">
        <f t="shared" si="15"/>
        <v>42733.161</v>
      </c>
      <c r="K30" s="458">
        <f t="shared" si="15"/>
        <v>42733.161</v>
      </c>
      <c r="L30" s="458">
        <f t="shared" si="15"/>
        <v>42733.161</v>
      </c>
      <c r="M30" s="458">
        <f t="shared" si="15"/>
        <v>42733.161</v>
      </c>
      <c r="N30" s="322">
        <v>427331.61000000004</v>
      </c>
      <c r="O30" s="110" t="b">
        <v>1</v>
      </c>
    </row>
    <row r="31" spans="1:15">
      <c r="A31" s="580" t="s">
        <v>1039</v>
      </c>
      <c r="B31" s="580" t="s">
        <v>858</v>
      </c>
      <c r="C31" s="455">
        <f>SUM(D31:M31)</f>
        <v>0.99999999999999989</v>
      </c>
      <c r="D31" s="456">
        <v>0.1</v>
      </c>
      <c r="E31" s="456">
        <v>0.1</v>
      </c>
      <c r="F31" s="456">
        <v>0.1</v>
      </c>
      <c r="G31" s="456">
        <v>0.1</v>
      </c>
      <c r="H31" s="456">
        <v>0.1</v>
      </c>
      <c r="I31" s="456">
        <v>0.1</v>
      </c>
      <c r="J31" s="456">
        <v>0.1</v>
      </c>
      <c r="K31" s="456">
        <v>0.1</v>
      </c>
      <c r="L31" s="456">
        <v>0.1</v>
      </c>
      <c r="M31" s="456">
        <v>0.1</v>
      </c>
    </row>
    <row r="32" spans="1:15">
      <c r="A32" s="580"/>
      <c r="B32" s="580"/>
      <c r="C32" s="457">
        <f>'Orçamento Ata Pontes'!I55</f>
        <v>37554.31</v>
      </c>
      <c r="D32" s="458">
        <f>$C$32*D31</f>
        <v>3755.431</v>
      </c>
      <c r="E32" s="458">
        <f t="shared" ref="E32:M32" si="16">$C$32*E31</f>
        <v>3755.431</v>
      </c>
      <c r="F32" s="458">
        <f t="shared" si="16"/>
        <v>3755.431</v>
      </c>
      <c r="G32" s="458">
        <f t="shared" si="16"/>
        <v>3755.431</v>
      </c>
      <c r="H32" s="458">
        <f t="shared" si="16"/>
        <v>3755.431</v>
      </c>
      <c r="I32" s="458">
        <f t="shared" si="16"/>
        <v>3755.431</v>
      </c>
      <c r="J32" s="458">
        <f t="shared" si="16"/>
        <v>3755.431</v>
      </c>
      <c r="K32" s="458">
        <f t="shared" si="16"/>
        <v>3755.431</v>
      </c>
      <c r="L32" s="458">
        <f t="shared" si="16"/>
        <v>3755.431</v>
      </c>
      <c r="M32" s="458">
        <f t="shared" si="16"/>
        <v>3755.431</v>
      </c>
      <c r="N32" s="322">
        <v>37554.31</v>
      </c>
      <c r="O32" s="110" t="b">
        <v>1</v>
      </c>
    </row>
    <row r="33" spans="1:14" ht="15.6">
      <c r="A33" s="459"/>
      <c r="B33" s="461" t="s">
        <v>1095</v>
      </c>
      <c r="C33" s="462">
        <f>C22+C10+C6</f>
        <v>6016628.1599999992</v>
      </c>
      <c r="D33" s="460"/>
      <c r="E33" s="460"/>
      <c r="F33" s="460"/>
      <c r="G33" s="460"/>
      <c r="H33" s="460"/>
      <c r="I33" s="460"/>
      <c r="J33" s="460"/>
      <c r="K33" s="460"/>
      <c r="L33" s="460"/>
      <c r="M33" s="460"/>
      <c r="N33" s="322"/>
    </row>
    <row r="34" spans="1:14">
      <c r="A34" s="488"/>
      <c r="B34" s="488"/>
      <c r="C34" s="467" t="s">
        <v>1099</v>
      </c>
      <c r="D34" s="465">
        <f>D35/$C$33</f>
        <v>9.9999999999999992E-2</v>
      </c>
      <c r="E34" s="465">
        <f t="shared" ref="E34:M34" si="17">E35/$C$33</f>
        <v>9.9999999999999992E-2</v>
      </c>
      <c r="F34" s="465">
        <f t="shared" si="17"/>
        <v>9.9999999999999992E-2</v>
      </c>
      <c r="G34" s="465">
        <f t="shared" si="17"/>
        <v>9.9999999999999992E-2</v>
      </c>
      <c r="H34" s="465">
        <f t="shared" si="17"/>
        <v>9.9999999999999992E-2</v>
      </c>
      <c r="I34" s="465">
        <f t="shared" si="17"/>
        <v>9.9999999999999992E-2</v>
      </c>
      <c r="J34" s="465">
        <f t="shared" si="17"/>
        <v>9.9999999999999992E-2</v>
      </c>
      <c r="K34" s="465">
        <f t="shared" si="17"/>
        <v>9.9999999999999992E-2</v>
      </c>
      <c r="L34" s="465">
        <f t="shared" si="17"/>
        <v>9.9999999999999992E-2</v>
      </c>
      <c r="M34" s="465">
        <f t="shared" si="17"/>
        <v>9.9999999999999992E-2</v>
      </c>
    </row>
    <row r="35" spans="1:14">
      <c r="A35" s="488"/>
      <c r="B35" s="488"/>
      <c r="C35" s="467" t="s">
        <v>1098</v>
      </c>
      <c r="D35" s="466">
        <f>SUM(D8,D12,D14,D16,D18,D20,D24,D26,D28,D30,D32)</f>
        <v>601662.81599999988</v>
      </c>
      <c r="E35" s="466">
        <f t="shared" ref="E35:M35" si="18">SUM(E8,E12,E14,E16,E18,E20,E24,E26,E28,E30,E32)</f>
        <v>601662.81599999988</v>
      </c>
      <c r="F35" s="466">
        <f t="shared" si="18"/>
        <v>601662.81599999988</v>
      </c>
      <c r="G35" s="466">
        <f t="shared" si="18"/>
        <v>601662.81599999988</v>
      </c>
      <c r="H35" s="466">
        <f t="shared" si="18"/>
        <v>601662.81599999988</v>
      </c>
      <c r="I35" s="466">
        <f t="shared" si="18"/>
        <v>601662.81599999988</v>
      </c>
      <c r="J35" s="466">
        <f t="shared" si="18"/>
        <v>601662.81599999988</v>
      </c>
      <c r="K35" s="466">
        <f t="shared" si="18"/>
        <v>601662.81599999988</v>
      </c>
      <c r="L35" s="466">
        <f t="shared" si="18"/>
        <v>601662.81599999988</v>
      </c>
      <c r="M35" s="466">
        <f t="shared" si="18"/>
        <v>601662.81599999988</v>
      </c>
    </row>
    <row r="36" spans="1:14" ht="26.4">
      <c r="A36" s="488"/>
      <c r="B36" s="488"/>
      <c r="C36" s="467" t="s">
        <v>1096</v>
      </c>
      <c r="D36" s="465">
        <f>D34</f>
        <v>9.9999999999999992E-2</v>
      </c>
      <c r="E36" s="465">
        <f>E34+D36</f>
        <v>0.19999999999999998</v>
      </c>
      <c r="F36" s="465">
        <f t="shared" ref="F36:M36" si="19">F34+E36</f>
        <v>0.3</v>
      </c>
      <c r="G36" s="465">
        <f t="shared" si="19"/>
        <v>0.39999999999999997</v>
      </c>
      <c r="H36" s="465">
        <f t="shared" si="19"/>
        <v>0.49999999999999994</v>
      </c>
      <c r="I36" s="465">
        <f t="shared" si="19"/>
        <v>0.6</v>
      </c>
      <c r="J36" s="465">
        <f t="shared" si="19"/>
        <v>0.7</v>
      </c>
      <c r="K36" s="465">
        <f t="shared" si="19"/>
        <v>0.79999999999999993</v>
      </c>
      <c r="L36" s="465">
        <f t="shared" si="19"/>
        <v>0.89999999999999991</v>
      </c>
      <c r="M36" s="465">
        <f t="shared" si="19"/>
        <v>0.99999999999999989</v>
      </c>
    </row>
    <row r="37" spans="1:14">
      <c r="A37" s="488"/>
      <c r="B37" s="488"/>
      <c r="C37" s="467" t="s">
        <v>1097</v>
      </c>
      <c r="D37" s="466">
        <f>D35</f>
        <v>601662.81599999988</v>
      </c>
      <c r="E37" s="466">
        <f>E35+D37</f>
        <v>1203325.6319999998</v>
      </c>
      <c r="F37" s="466">
        <f t="shared" ref="F37:M37" si="20">F35+E37</f>
        <v>1804988.4479999996</v>
      </c>
      <c r="G37" s="466">
        <f t="shared" si="20"/>
        <v>2406651.2639999995</v>
      </c>
      <c r="H37" s="466">
        <f t="shared" si="20"/>
        <v>3008314.0799999991</v>
      </c>
      <c r="I37" s="466">
        <f t="shared" si="20"/>
        <v>3609976.8959999988</v>
      </c>
      <c r="J37" s="466">
        <f t="shared" si="20"/>
        <v>4211639.7119999984</v>
      </c>
      <c r="K37" s="466">
        <f t="shared" si="20"/>
        <v>4813302.5279999981</v>
      </c>
      <c r="L37" s="466">
        <f t="shared" si="20"/>
        <v>5414965.3439999977</v>
      </c>
      <c r="M37" s="466">
        <f t="shared" si="20"/>
        <v>6016628.1599999974</v>
      </c>
    </row>
    <row r="38" spans="1:14">
      <c r="A38" s="212"/>
      <c r="B38" s="212"/>
      <c r="C38" s="212"/>
      <c r="D38" s="212"/>
      <c r="E38" s="212"/>
      <c r="F38" s="212"/>
      <c r="G38" s="212"/>
    </row>
    <row r="39" spans="1:14" ht="60" customHeight="1">
      <c r="A39" s="215"/>
      <c r="B39" s="215"/>
      <c r="C39" s="215"/>
      <c r="D39" s="215"/>
      <c r="E39" s="215"/>
      <c r="F39" s="215"/>
      <c r="G39" s="215"/>
      <c r="J39" s="110">
        <f>300/30</f>
        <v>10</v>
      </c>
      <c r="N39" s="110">
        <f>300/30</f>
        <v>10</v>
      </c>
    </row>
    <row r="40" spans="1:14" ht="70.2" customHeight="1">
      <c r="A40" s="489"/>
      <c r="B40" s="490"/>
      <c r="C40" s="490"/>
      <c r="D40" s="490"/>
      <c r="E40" s="490"/>
      <c r="F40" s="490"/>
      <c r="G40" s="490"/>
    </row>
  </sheetData>
  <mergeCells count="38">
    <mergeCell ref="A5:A6"/>
    <mergeCell ref="B5:B6"/>
    <mergeCell ref="A7:A8"/>
    <mergeCell ref="B7:B8"/>
    <mergeCell ref="A19:A20"/>
    <mergeCell ref="B19:B20"/>
    <mergeCell ref="A35:B35"/>
    <mergeCell ref="A36:B36"/>
    <mergeCell ref="A37:B37"/>
    <mergeCell ref="A40:G40"/>
    <mergeCell ref="A21:A22"/>
    <mergeCell ref="B21:B22"/>
    <mergeCell ref="A27:A28"/>
    <mergeCell ref="B27:B28"/>
    <mergeCell ref="A29:A30"/>
    <mergeCell ref="B29:B30"/>
    <mergeCell ref="A23:A24"/>
    <mergeCell ref="B23:B24"/>
    <mergeCell ref="A25:A26"/>
    <mergeCell ref="B25:B26"/>
    <mergeCell ref="A31:A32"/>
    <mergeCell ref="B31:B32"/>
    <mergeCell ref="D1:E1"/>
    <mergeCell ref="F1:G1"/>
    <mergeCell ref="D2:E2"/>
    <mergeCell ref="F2:G2"/>
    <mergeCell ref="A34:B34"/>
    <mergeCell ref="A9:A10"/>
    <mergeCell ref="B9:B10"/>
    <mergeCell ref="A11:A12"/>
    <mergeCell ref="B11:B12"/>
    <mergeCell ref="A3:M3"/>
    <mergeCell ref="A13:A14"/>
    <mergeCell ref="B13:B14"/>
    <mergeCell ref="A15:A16"/>
    <mergeCell ref="B15:B16"/>
    <mergeCell ref="A17:A18"/>
    <mergeCell ref="B17:B18"/>
  </mergeCells>
  <pageMargins left="0.51181102362204722" right="0.51181102362204722" top="1.1811023622047245" bottom="0.98425196850393704" header="0.51181102362204722" footer="0.51181102362204722"/>
  <pageSetup paperSize="8" scale="74" orientation="landscape" r:id="rId1"/>
  <headerFooter>
    <oddHeader>&amp;L &amp;C Prefeitura Municipal de Barreirinhas
CNPJ: 06.217.954/0001-37
 Av. Joaquim Soeiro de Carvalho, 533, Barreirinhas/MA, CEP 65590-000</oddHeader>
    <oddFooter xml:space="preserve">&amp;L </oddFooter>
  </headerFooter>
  <ignoredErrors>
    <ignoredError sqref="C8 C12:C19 C24:C31" formula="1"/>
  </ignoredErrors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theme="8" tint="-0.499984740745262"/>
  </sheetPr>
  <dimension ref="A1:HY98"/>
  <sheetViews>
    <sheetView view="pageBreakPreview" zoomScaleNormal="100" zoomScaleSheetLayoutView="100" workbookViewId="0">
      <selection activeCell="B17" sqref="B17"/>
    </sheetView>
  </sheetViews>
  <sheetFormatPr defaultColWidth="9.109375" defaultRowHeight="13.8"/>
  <cols>
    <col min="1" max="1" width="12.33203125" style="110" customWidth="1"/>
    <col min="2" max="2" width="54.88671875" style="110" customWidth="1"/>
    <col min="3" max="3" width="13.33203125" style="110" customWidth="1"/>
    <col min="4" max="4" width="15.88671875" style="110" customWidth="1"/>
    <col min="5" max="16384" width="9.109375" style="110"/>
  </cols>
  <sheetData>
    <row r="1" spans="1:233">
      <c r="A1" s="583"/>
      <c r="B1" s="583"/>
      <c r="C1" s="583"/>
      <c r="D1" s="583"/>
    </row>
    <row r="2" spans="1:233">
      <c r="A2" s="583"/>
      <c r="B2" s="583"/>
      <c r="C2" s="583"/>
      <c r="D2" s="583"/>
    </row>
    <row r="3" spans="1:233">
      <c r="A3" s="583"/>
      <c r="B3" s="583"/>
      <c r="C3" s="583"/>
      <c r="D3" s="583"/>
    </row>
    <row r="4" spans="1:233">
      <c r="A4" s="583"/>
      <c r="B4" s="583"/>
      <c r="C4" s="583"/>
      <c r="D4" s="583"/>
    </row>
    <row r="5" spans="1:233">
      <c r="A5" s="583"/>
      <c r="B5" s="583"/>
      <c r="C5" s="583"/>
      <c r="D5" s="583"/>
    </row>
    <row r="6" spans="1:233">
      <c r="A6" s="583"/>
      <c r="B6" s="583"/>
      <c r="C6" s="583"/>
      <c r="D6" s="583"/>
    </row>
    <row r="7" spans="1:233">
      <c r="A7" s="584" t="s">
        <v>1107</v>
      </c>
      <c r="B7" s="584"/>
      <c r="C7" s="584"/>
      <c r="D7" s="584"/>
      <c r="F7" s="110" t="s">
        <v>852</v>
      </c>
    </row>
    <row r="8" spans="1:233">
      <c r="A8" s="584" t="s">
        <v>574</v>
      </c>
      <c r="B8" s="584"/>
      <c r="C8" s="584"/>
      <c r="D8" s="584"/>
      <c r="E8" s="111"/>
      <c r="F8" s="582"/>
      <c r="G8" s="582"/>
      <c r="H8" s="582"/>
      <c r="I8" s="582"/>
      <c r="J8" s="582"/>
      <c r="K8" s="582"/>
      <c r="L8" s="582"/>
      <c r="M8" s="582"/>
      <c r="N8" s="582"/>
      <c r="O8" s="582"/>
      <c r="P8" s="582"/>
      <c r="Q8" s="582"/>
      <c r="R8" s="582"/>
      <c r="S8" s="582"/>
      <c r="T8" s="582"/>
      <c r="U8" s="582"/>
      <c r="V8" s="582"/>
      <c r="W8" s="582"/>
      <c r="X8" s="582"/>
      <c r="Y8" s="582"/>
      <c r="Z8" s="582"/>
      <c r="AA8" s="582"/>
      <c r="AB8" s="582"/>
      <c r="AC8" s="582"/>
      <c r="AD8" s="582"/>
      <c r="AE8" s="582"/>
      <c r="AF8" s="582"/>
      <c r="AG8" s="582"/>
      <c r="AH8" s="582"/>
      <c r="AI8" s="582"/>
      <c r="AJ8" s="582"/>
      <c r="AK8" s="582"/>
      <c r="AL8" s="582"/>
      <c r="AM8" s="582"/>
      <c r="AN8" s="582"/>
      <c r="AO8" s="582"/>
      <c r="AP8" s="582"/>
      <c r="AQ8" s="582"/>
      <c r="AR8" s="582"/>
      <c r="AS8" s="582"/>
      <c r="AT8" s="582"/>
      <c r="AU8" s="582"/>
      <c r="AV8" s="582"/>
      <c r="AW8" s="582"/>
      <c r="AX8" s="582"/>
      <c r="AY8" s="582"/>
      <c r="AZ8" s="582"/>
      <c r="BA8" s="582"/>
      <c r="BB8" s="582"/>
      <c r="BC8" s="582"/>
      <c r="BD8" s="582"/>
      <c r="BE8" s="582"/>
      <c r="BF8" s="582"/>
      <c r="BG8" s="582"/>
      <c r="BH8" s="582"/>
      <c r="BI8" s="582"/>
      <c r="BJ8" s="582"/>
      <c r="BK8" s="582"/>
      <c r="BL8" s="582"/>
      <c r="BM8" s="582"/>
      <c r="BN8" s="582"/>
      <c r="BO8" s="582"/>
      <c r="BP8" s="582"/>
      <c r="BQ8" s="582"/>
      <c r="BR8" s="582"/>
      <c r="BS8" s="582"/>
      <c r="BT8" s="582"/>
      <c r="BU8" s="582"/>
      <c r="BV8" s="582"/>
      <c r="BW8" s="582"/>
      <c r="BX8" s="582"/>
      <c r="BY8" s="582"/>
      <c r="BZ8" s="582"/>
      <c r="CA8" s="582"/>
      <c r="CB8" s="582"/>
      <c r="CC8" s="582"/>
      <c r="CD8" s="582"/>
      <c r="CE8" s="582"/>
      <c r="CF8" s="582"/>
      <c r="CG8" s="582"/>
      <c r="CH8" s="582"/>
      <c r="CI8" s="582"/>
      <c r="CJ8" s="582"/>
      <c r="CK8" s="582"/>
      <c r="CL8" s="582"/>
      <c r="CM8" s="582"/>
      <c r="CN8" s="582"/>
      <c r="CO8" s="582"/>
      <c r="CP8" s="582"/>
      <c r="CQ8" s="582"/>
      <c r="CR8" s="582"/>
      <c r="CS8" s="582"/>
      <c r="CT8" s="582"/>
      <c r="CU8" s="582"/>
      <c r="CV8" s="582"/>
      <c r="CW8" s="582"/>
      <c r="CX8" s="582"/>
      <c r="CY8" s="582"/>
      <c r="CZ8" s="582"/>
      <c r="DA8" s="582"/>
      <c r="DB8" s="582"/>
      <c r="DC8" s="582"/>
      <c r="DD8" s="582"/>
      <c r="DE8" s="582"/>
      <c r="DF8" s="582"/>
      <c r="DG8" s="582"/>
      <c r="DH8" s="582"/>
      <c r="DI8" s="582"/>
      <c r="DJ8" s="582"/>
      <c r="DK8" s="582"/>
      <c r="DL8" s="582"/>
      <c r="DM8" s="582"/>
      <c r="DN8" s="582"/>
      <c r="DO8" s="582"/>
      <c r="DP8" s="582"/>
      <c r="DQ8" s="582"/>
      <c r="DR8" s="582"/>
      <c r="DS8" s="582"/>
      <c r="DT8" s="582"/>
      <c r="DU8" s="582"/>
      <c r="DV8" s="582"/>
      <c r="DW8" s="582"/>
      <c r="DX8" s="582"/>
      <c r="DY8" s="582"/>
      <c r="DZ8" s="582"/>
      <c r="EA8" s="582"/>
      <c r="EB8" s="582"/>
      <c r="EC8" s="582"/>
      <c r="ED8" s="582"/>
      <c r="EE8" s="582"/>
      <c r="EF8" s="582"/>
      <c r="EG8" s="582"/>
      <c r="EH8" s="582"/>
      <c r="EI8" s="582"/>
      <c r="EJ8" s="582"/>
      <c r="EK8" s="582"/>
      <c r="EL8" s="582"/>
      <c r="EM8" s="582"/>
      <c r="EN8" s="582"/>
      <c r="EO8" s="582"/>
      <c r="EP8" s="582"/>
      <c r="EQ8" s="582"/>
      <c r="ER8" s="582"/>
      <c r="ES8" s="582"/>
      <c r="ET8" s="582"/>
      <c r="EU8" s="582"/>
      <c r="EV8" s="582"/>
      <c r="EW8" s="582"/>
      <c r="EX8" s="582"/>
      <c r="EY8" s="582"/>
      <c r="EZ8" s="582"/>
      <c r="FA8" s="582"/>
      <c r="FB8" s="582"/>
      <c r="FC8" s="582"/>
      <c r="FD8" s="582"/>
      <c r="FE8" s="582"/>
      <c r="FF8" s="582"/>
      <c r="FG8" s="582"/>
      <c r="FH8" s="582"/>
      <c r="FI8" s="582"/>
      <c r="FJ8" s="582"/>
      <c r="FK8" s="582"/>
      <c r="FL8" s="582"/>
      <c r="FM8" s="582"/>
      <c r="FN8" s="582"/>
      <c r="FO8" s="582"/>
      <c r="FP8" s="582"/>
      <c r="FQ8" s="582"/>
      <c r="FR8" s="582"/>
      <c r="FS8" s="582"/>
      <c r="FT8" s="582"/>
      <c r="FU8" s="582"/>
      <c r="FV8" s="582"/>
      <c r="FW8" s="582"/>
      <c r="FX8" s="582"/>
      <c r="FY8" s="582"/>
      <c r="FZ8" s="582"/>
      <c r="GA8" s="582"/>
      <c r="GB8" s="582"/>
      <c r="GC8" s="582"/>
      <c r="GD8" s="582"/>
      <c r="GE8" s="582"/>
      <c r="GF8" s="582"/>
      <c r="GG8" s="582"/>
      <c r="GH8" s="582"/>
      <c r="GI8" s="582"/>
      <c r="GJ8" s="582"/>
      <c r="GK8" s="582"/>
      <c r="GL8" s="582"/>
      <c r="GM8" s="582"/>
      <c r="GN8" s="582"/>
      <c r="GO8" s="582"/>
      <c r="GP8" s="582"/>
      <c r="GQ8" s="582"/>
      <c r="GR8" s="582"/>
      <c r="GS8" s="582"/>
      <c r="GT8" s="582"/>
      <c r="GU8" s="582"/>
      <c r="GV8" s="582"/>
      <c r="GW8" s="582"/>
      <c r="GX8" s="582"/>
      <c r="GY8" s="582"/>
      <c r="GZ8" s="582"/>
      <c r="HA8" s="582"/>
      <c r="HB8" s="582"/>
      <c r="HC8" s="582"/>
      <c r="HD8" s="582"/>
      <c r="HE8" s="582"/>
      <c r="HF8" s="582"/>
      <c r="HG8" s="582"/>
      <c r="HH8" s="582"/>
      <c r="HI8" s="582"/>
      <c r="HJ8" s="582"/>
      <c r="HK8" s="582"/>
      <c r="HL8" s="582"/>
      <c r="HM8" s="582"/>
      <c r="HN8" s="582"/>
      <c r="HO8" s="582"/>
      <c r="HP8" s="582"/>
      <c r="HQ8" s="582"/>
      <c r="HR8" s="582"/>
      <c r="HS8" s="582"/>
      <c r="HT8" s="582"/>
      <c r="HU8" s="582"/>
      <c r="HV8" s="582"/>
      <c r="HW8" s="582"/>
      <c r="HX8" s="582"/>
      <c r="HY8" s="582"/>
    </row>
    <row r="9" spans="1:233">
      <c r="A9" s="584" t="s">
        <v>575</v>
      </c>
      <c r="B9" s="584"/>
      <c r="C9" s="584"/>
      <c r="D9" s="584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  <c r="GF9" s="111"/>
      <c r="GG9" s="111"/>
      <c r="GH9" s="111"/>
      <c r="GI9" s="111"/>
      <c r="GJ9" s="111"/>
      <c r="GK9" s="111"/>
      <c r="GL9" s="111"/>
      <c r="GM9" s="111"/>
      <c r="GN9" s="111"/>
      <c r="GO9" s="111"/>
      <c r="GP9" s="111"/>
      <c r="GQ9" s="111"/>
      <c r="GR9" s="111"/>
      <c r="GS9" s="111"/>
      <c r="GT9" s="111"/>
      <c r="GU9" s="111"/>
      <c r="GV9" s="111"/>
      <c r="GW9" s="111"/>
      <c r="GX9" s="111"/>
      <c r="GY9" s="111"/>
      <c r="GZ9" s="111"/>
      <c r="HA9" s="111"/>
      <c r="HB9" s="111"/>
      <c r="HC9" s="111"/>
      <c r="HD9" s="111"/>
      <c r="HE9" s="111"/>
      <c r="HF9" s="111"/>
      <c r="HG9" s="111"/>
      <c r="HH9" s="111"/>
      <c r="HI9" s="111"/>
      <c r="HJ9" s="111"/>
      <c r="HK9" s="111"/>
      <c r="HL9" s="111"/>
      <c r="HM9" s="111"/>
      <c r="HN9" s="111"/>
      <c r="HO9" s="111"/>
      <c r="HP9" s="111"/>
      <c r="HQ9" s="111"/>
      <c r="HR9" s="111"/>
      <c r="HS9" s="111"/>
      <c r="HT9" s="111"/>
      <c r="HU9" s="111"/>
      <c r="HV9" s="111"/>
      <c r="HW9" s="111"/>
      <c r="HX9" s="111"/>
      <c r="HY9" s="111"/>
    </row>
    <row r="10" spans="1:233">
      <c r="A10" s="584"/>
      <c r="B10" s="584"/>
      <c r="C10" s="584"/>
      <c r="D10" s="584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</row>
    <row r="11" spans="1:233" s="320" customFormat="1" ht="14.4">
      <c r="A11" s="585" t="s">
        <v>85</v>
      </c>
      <c r="B11" s="585"/>
      <c r="C11" s="585"/>
      <c r="D11" s="585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319"/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19"/>
      <c r="BF11" s="319"/>
      <c r="BG11" s="319"/>
      <c r="BH11" s="319"/>
      <c r="BI11" s="319"/>
      <c r="BJ11" s="319"/>
      <c r="BK11" s="319"/>
      <c r="BL11" s="319"/>
      <c r="BM11" s="319"/>
      <c r="BN11" s="319"/>
      <c r="BO11" s="319"/>
      <c r="BP11" s="319"/>
      <c r="BQ11" s="319"/>
      <c r="BR11" s="319"/>
      <c r="BS11" s="319"/>
      <c r="BT11" s="319"/>
      <c r="BU11" s="319"/>
      <c r="BV11" s="319"/>
      <c r="BW11" s="319"/>
      <c r="BX11" s="319"/>
      <c r="BY11" s="319"/>
      <c r="BZ11" s="319"/>
      <c r="CA11" s="319"/>
      <c r="CB11" s="319"/>
      <c r="CC11" s="319"/>
      <c r="CD11" s="319"/>
      <c r="CE11" s="319"/>
      <c r="CF11" s="319"/>
      <c r="CG11" s="319"/>
      <c r="CH11" s="319"/>
      <c r="CI11" s="319"/>
      <c r="CJ11" s="319"/>
      <c r="CK11" s="319"/>
      <c r="CL11" s="319"/>
      <c r="CM11" s="319"/>
      <c r="CN11" s="319"/>
      <c r="CO11" s="319"/>
      <c r="CP11" s="319"/>
      <c r="CQ11" s="319"/>
      <c r="CR11" s="319"/>
      <c r="CS11" s="319"/>
      <c r="CT11" s="319"/>
      <c r="CU11" s="319"/>
      <c r="CV11" s="319"/>
      <c r="CW11" s="319"/>
      <c r="CX11" s="319"/>
      <c r="CY11" s="319"/>
      <c r="CZ11" s="319"/>
      <c r="DA11" s="319"/>
      <c r="DB11" s="319"/>
      <c r="DC11" s="319"/>
      <c r="DD11" s="319"/>
      <c r="DE11" s="319"/>
      <c r="DF11" s="319"/>
      <c r="DG11" s="319"/>
      <c r="DH11" s="319"/>
      <c r="DI11" s="319"/>
      <c r="DJ11" s="319"/>
      <c r="DK11" s="319"/>
      <c r="DL11" s="319"/>
      <c r="DM11" s="319"/>
      <c r="DN11" s="319"/>
      <c r="DO11" s="319"/>
      <c r="DP11" s="319"/>
      <c r="DQ11" s="319"/>
      <c r="DR11" s="319"/>
      <c r="DS11" s="319"/>
      <c r="DT11" s="319"/>
      <c r="DU11" s="319"/>
      <c r="DV11" s="319"/>
      <c r="DW11" s="319"/>
      <c r="DX11" s="319"/>
      <c r="DY11" s="319"/>
      <c r="DZ11" s="319"/>
      <c r="EA11" s="319"/>
      <c r="EB11" s="319"/>
      <c r="EC11" s="319"/>
      <c r="ED11" s="319"/>
      <c r="EE11" s="319"/>
      <c r="EF11" s="319"/>
      <c r="EG11" s="319"/>
      <c r="EH11" s="319"/>
      <c r="EI11" s="319"/>
      <c r="EJ11" s="319"/>
      <c r="EK11" s="319"/>
      <c r="EL11" s="319"/>
      <c r="EM11" s="319"/>
      <c r="EN11" s="319"/>
      <c r="EO11" s="319"/>
      <c r="EP11" s="319"/>
      <c r="EQ11" s="319"/>
      <c r="ER11" s="319"/>
      <c r="ES11" s="319"/>
      <c r="ET11" s="319"/>
      <c r="EU11" s="319"/>
      <c r="EV11" s="319"/>
      <c r="EW11" s="319"/>
      <c r="EX11" s="319"/>
      <c r="EY11" s="319"/>
      <c r="EZ11" s="319"/>
      <c r="FA11" s="319"/>
      <c r="FB11" s="319"/>
      <c r="FC11" s="319"/>
      <c r="FD11" s="319"/>
      <c r="FE11" s="319"/>
      <c r="FF11" s="319"/>
      <c r="FG11" s="319"/>
      <c r="FH11" s="319"/>
      <c r="FI11" s="319"/>
      <c r="FJ11" s="319"/>
      <c r="FK11" s="319"/>
      <c r="FL11" s="319"/>
      <c r="FM11" s="319"/>
      <c r="FN11" s="319"/>
      <c r="FO11" s="319"/>
      <c r="FP11" s="319"/>
      <c r="FQ11" s="319"/>
      <c r="FR11" s="319"/>
      <c r="FS11" s="319"/>
      <c r="FT11" s="319"/>
      <c r="FU11" s="319"/>
      <c r="FV11" s="319"/>
      <c r="FW11" s="319"/>
      <c r="FX11" s="319"/>
      <c r="FY11" s="319"/>
      <c r="FZ11" s="319"/>
      <c r="GA11" s="319"/>
      <c r="GB11" s="319"/>
      <c r="GC11" s="319"/>
      <c r="GD11" s="319"/>
      <c r="GE11" s="319"/>
      <c r="GF11" s="319"/>
      <c r="GG11" s="319"/>
      <c r="GH11" s="319"/>
      <c r="GI11" s="319"/>
      <c r="GJ11" s="319"/>
      <c r="GK11" s="319"/>
      <c r="GL11" s="319"/>
      <c r="GM11" s="319"/>
      <c r="GN11" s="319"/>
      <c r="GO11" s="319"/>
      <c r="GP11" s="319"/>
      <c r="GQ11" s="319"/>
      <c r="GR11" s="319"/>
      <c r="GS11" s="319"/>
      <c r="GT11" s="319"/>
      <c r="GU11" s="319"/>
      <c r="GV11" s="319"/>
      <c r="GW11" s="319"/>
      <c r="GX11" s="319"/>
      <c r="GY11" s="319"/>
      <c r="GZ11" s="319"/>
      <c r="HA11" s="319"/>
      <c r="HB11" s="319"/>
      <c r="HC11" s="319"/>
      <c r="HD11" s="319"/>
      <c r="HE11" s="319"/>
      <c r="HF11" s="319"/>
      <c r="HG11" s="319"/>
      <c r="HH11" s="319"/>
      <c r="HI11" s="319"/>
      <c r="HJ11" s="319"/>
      <c r="HK11" s="319"/>
      <c r="HL11" s="319"/>
      <c r="HM11" s="319"/>
      <c r="HN11" s="319"/>
      <c r="HO11" s="319"/>
      <c r="HP11" s="319"/>
      <c r="HQ11" s="319"/>
      <c r="HR11" s="319"/>
      <c r="HS11" s="319"/>
      <c r="HT11" s="319"/>
      <c r="HU11" s="319"/>
      <c r="HV11" s="319"/>
      <c r="HW11" s="319"/>
      <c r="HX11" s="319"/>
      <c r="HY11" s="319"/>
    </row>
    <row r="12" spans="1:233" s="334" customFormat="1">
      <c r="A12" s="342" t="s">
        <v>86</v>
      </c>
      <c r="B12" s="342" t="s">
        <v>6</v>
      </c>
      <c r="C12" s="342" t="s">
        <v>87</v>
      </c>
      <c r="D12" s="342" t="s">
        <v>88</v>
      </c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343"/>
      <c r="Q12" s="343"/>
      <c r="R12" s="343"/>
      <c r="S12" s="343"/>
      <c r="T12" s="343"/>
      <c r="U12" s="343"/>
      <c r="V12" s="343"/>
      <c r="W12" s="343"/>
      <c r="X12" s="343"/>
      <c r="Y12" s="343"/>
      <c r="Z12" s="343"/>
      <c r="AA12" s="343"/>
      <c r="AB12" s="343"/>
      <c r="AC12" s="343"/>
      <c r="AD12" s="343"/>
      <c r="AE12" s="343"/>
      <c r="AF12" s="343"/>
      <c r="AG12" s="343"/>
      <c r="AH12" s="343"/>
      <c r="AI12" s="343"/>
      <c r="AJ12" s="343"/>
      <c r="AK12" s="343"/>
      <c r="AL12" s="343"/>
      <c r="AM12" s="343"/>
      <c r="AN12" s="343"/>
      <c r="AO12" s="343"/>
      <c r="AP12" s="343"/>
      <c r="AQ12" s="343"/>
      <c r="AR12" s="343"/>
      <c r="AS12" s="343"/>
      <c r="AT12" s="343"/>
      <c r="AU12" s="343"/>
      <c r="AV12" s="343"/>
      <c r="AW12" s="343"/>
      <c r="AX12" s="343"/>
      <c r="AY12" s="343"/>
      <c r="AZ12" s="343"/>
      <c r="BA12" s="343"/>
      <c r="BB12" s="343"/>
      <c r="BC12" s="343"/>
      <c r="BD12" s="343"/>
      <c r="BE12" s="343"/>
      <c r="BF12" s="343"/>
      <c r="BG12" s="343"/>
      <c r="BH12" s="343"/>
      <c r="BI12" s="343"/>
      <c r="BJ12" s="343"/>
      <c r="BK12" s="343"/>
      <c r="BL12" s="343"/>
      <c r="BM12" s="343"/>
      <c r="BN12" s="343"/>
      <c r="BO12" s="343"/>
      <c r="BP12" s="343"/>
      <c r="BQ12" s="343"/>
      <c r="BR12" s="343"/>
      <c r="BS12" s="343"/>
      <c r="BT12" s="343"/>
      <c r="BU12" s="343"/>
      <c r="BV12" s="343"/>
      <c r="BW12" s="343"/>
      <c r="BX12" s="343"/>
      <c r="BY12" s="343"/>
      <c r="BZ12" s="343"/>
      <c r="CA12" s="343"/>
      <c r="CB12" s="343"/>
      <c r="CC12" s="343"/>
      <c r="CD12" s="343"/>
      <c r="CE12" s="343"/>
      <c r="CF12" s="343"/>
      <c r="CG12" s="343"/>
      <c r="CH12" s="343"/>
      <c r="CI12" s="343"/>
      <c r="CJ12" s="343"/>
      <c r="CK12" s="343"/>
      <c r="CL12" s="343"/>
      <c r="CM12" s="343"/>
      <c r="CN12" s="343"/>
      <c r="CO12" s="343"/>
      <c r="CP12" s="343"/>
      <c r="CQ12" s="343"/>
      <c r="CR12" s="343"/>
      <c r="CS12" s="343"/>
      <c r="CT12" s="343"/>
      <c r="CU12" s="343"/>
      <c r="CV12" s="343"/>
      <c r="CW12" s="343"/>
      <c r="CX12" s="343"/>
      <c r="CY12" s="343"/>
      <c r="CZ12" s="343"/>
      <c r="DA12" s="343"/>
      <c r="DB12" s="343"/>
      <c r="DC12" s="343"/>
      <c r="DD12" s="343"/>
      <c r="DE12" s="343"/>
      <c r="DF12" s="343"/>
      <c r="DG12" s="343"/>
      <c r="DH12" s="343"/>
      <c r="DI12" s="343"/>
      <c r="DJ12" s="343"/>
      <c r="DK12" s="343"/>
      <c r="DL12" s="343"/>
      <c r="DM12" s="343"/>
      <c r="DN12" s="343"/>
      <c r="DO12" s="343"/>
      <c r="DP12" s="343"/>
      <c r="DQ12" s="343"/>
      <c r="DR12" s="343"/>
      <c r="DS12" s="343"/>
      <c r="DT12" s="343"/>
      <c r="DU12" s="343"/>
      <c r="DV12" s="343"/>
      <c r="DW12" s="343"/>
      <c r="DX12" s="343"/>
      <c r="DY12" s="343"/>
      <c r="DZ12" s="343"/>
      <c r="EA12" s="343"/>
      <c r="EB12" s="343"/>
      <c r="EC12" s="343"/>
      <c r="ED12" s="343"/>
      <c r="EE12" s="343"/>
      <c r="EF12" s="343"/>
      <c r="EG12" s="343"/>
      <c r="EH12" s="343"/>
      <c r="EI12" s="343"/>
      <c r="EJ12" s="343"/>
      <c r="EK12" s="343"/>
      <c r="EL12" s="343"/>
      <c r="EM12" s="343"/>
      <c r="EN12" s="343"/>
      <c r="EO12" s="343"/>
      <c r="EP12" s="343"/>
      <c r="EQ12" s="343"/>
      <c r="ER12" s="343"/>
      <c r="ES12" s="343"/>
      <c r="ET12" s="343"/>
      <c r="EU12" s="343"/>
      <c r="EV12" s="343"/>
      <c r="EW12" s="343"/>
      <c r="EX12" s="343"/>
      <c r="EY12" s="343"/>
      <c r="EZ12" s="343"/>
      <c r="FA12" s="343"/>
      <c r="FB12" s="343"/>
      <c r="FC12" s="343"/>
      <c r="FD12" s="343"/>
      <c r="FE12" s="343"/>
      <c r="FF12" s="343"/>
      <c r="FG12" s="343"/>
      <c r="FH12" s="343"/>
      <c r="FI12" s="343"/>
      <c r="FJ12" s="343"/>
      <c r="FK12" s="343"/>
      <c r="FL12" s="343"/>
      <c r="FM12" s="343"/>
      <c r="FN12" s="343"/>
      <c r="FO12" s="343"/>
      <c r="FP12" s="343"/>
      <c r="FQ12" s="343"/>
      <c r="FR12" s="343"/>
      <c r="FS12" s="343"/>
      <c r="FT12" s="343"/>
      <c r="FU12" s="343"/>
      <c r="FV12" s="343"/>
      <c r="FW12" s="343"/>
      <c r="FX12" s="343"/>
      <c r="FY12" s="343"/>
      <c r="FZ12" s="343"/>
      <c r="GA12" s="343"/>
      <c r="GB12" s="343"/>
      <c r="GC12" s="343"/>
      <c r="GD12" s="343"/>
      <c r="GE12" s="343"/>
      <c r="GF12" s="343"/>
      <c r="GG12" s="343"/>
      <c r="GH12" s="343"/>
      <c r="GI12" s="343"/>
      <c r="GJ12" s="343"/>
      <c r="GK12" s="343"/>
      <c r="GL12" s="343"/>
      <c r="GM12" s="343"/>
      <c r="GN12" s="343"/>
      <c r="GO12" s="343"/>
      <c r="GP12" s="343"/>
      <c r="GQ12" s="343"/>
      <c r="GR12" s="343"/>
      <c r="GS12" s="343"/>
      <c r="GT12" s="343"/>
      <c r="GU12" s="343"/>
      <c r="GV12" s="343"/>
      <c r="GW12" s="343"/>
      <c r="GX12" s="343"/>
      <c r="GY12" s="343"/>
      <c r="GZ12" s="343"/>
      <c r="HA12" s="343"/>
      <c r="HB12" s="343"/>
      <c r="HC12" s="343"/>
      <c r="HD12" s="343"/>
      <c r="HE12" s="343"/>
      <c r="HF12" s="343"/>
      <c r="HG12" s="343"/>
      <c r="HH12" s="343"/>
      <c r="HI12" s="343"/>
      <c r="HJ12" s="343"/>
      <c r="HK12" s="343"/>
      <c r="HL12" s="343"/>
      <c r="HM12" s="343"/>
      <c r="HN12" s="343"/>
      <c r="HO12" s="343"/>
      <c r="HP12" s="343"/>
      <c r="HQ12" s="343"/>
      <c r="HR12" s="343"/>
      <c r="HS12" s="343"/>
      <c r="HT12" s="343"/>
      <c r="HU12" s="343"/>
      <c r="HV12" s="343"/>
      <c r="HW12" s="343"/>
      <c r="HX12" s="343"/>
      <c r="HY12" s="343"/>
    </row>
    <row r="13" spans="1:233">
      <c r="A13" s="586" t="s">
        <v>89</v>
      </c>
      <c r="B13" s="586"/>
      <c r="C13" s="586"/>
      <c r="D13" s="586"/>
    </row>
    <row r="14" spans="1:233">
      <c r="A14" s="112" t="s">
        <v>90</v>
      </c>
      <c r="B14" s="113" t="s">
        <v>91</v>
      </c>
      <c r="C14" s="114">
        <v>20</v>
      </c>
      <c r="D14" s="114">
        <v>20</v>
      </c>
    </row>
    <row r="15" spans="1:233">
      <c r="A15" s="112" t="s">
        <v>92</v>
      </c>
      <c r="B15" s="113" t="s">
        <v>93</v>
      </c>
      <c r="C15" s="114">
        <v>1.5</v>
      </c>
      <c r="D15" s="114">
        <v>1.5</v>
      </c>
    </row>
    <row r="16" spans="1:233">
      <c r="A16" s="112" t="s">
        <v>94</v>
      </c>
      <c r="B16" s="113" t="s">
        <v>95</v>
      </c>
      <c r="C16" s="114">
        <v>1</v>
      </c>
      <c r="D16" s="114">
        <v>1</v>
      </c>
    </row>
    <row r="17" spans="1:4">
      <c r="A17" s="112" t="s">
        <v>96</v>
      </c>
      <c r="B17" s="113" t="s">
        <v>97</v>
      </c>
      <c r="C17" s="114">
        <v>0.2</v>
      </c>
      <c r="D17" s="114">
        <v>0.2</v>
      </c>
    </row>
    <row r="18" spans="1:4">
      <c r="A18" s="112" t="s">
        <v>98</v>
      </c>
      <c r="B18" s="113" t="s">
        <v>99</v>
      </c>
      <c r="C18" s="114">
        <v>0.6</v>
      </c>
      <c r="D18" s="114">
        <v>0.6</v>
      </c>
    </row>
    <row r="19" spans="1:4">
      <c r="A19" s="112" t="s">
        <v>100</v>
      </c>
      <c r="B19" s="113" t="s">
        <v>101</v>
      </c>
      <c r="C19" s="114">
        <v>2.5</v>
      </c>
      <c r="D19" s="114">
        <v>2.5</v>
      </c>
    </row>
    <row r="20" spans="1:4">
      <c r="A20" s="112" t="s">
        <v>102</v>
      </c>
      <c r="B20" s="113" t="s">
        <v>103</v>
      </c>
      <c r="C20" s="114">
        <v>3</v>
      </c>
      <c r="D20" s="114">
        <v>3</v>
      </c>
    </row>
    <row r="21" spans="1:4">
      <c r="A21" s="112" t="s">
        <v>104</v>
      </c>
      <c r="B21" s="113" t="s">
        <v>105</v>
      </c>
      <c r="C21" s="114">
        <v>8</v>
      </c>
      <c r="D21" s="114">
        <v>8</v>
      </c>
    </row>
    <row r="22" spans="1:4">
      <c r="A22" s="112" t="s">
        <v>106</v>
      </c>
      <c r="B22" s="113" t="s">
        <v>107</v>
      </c>
      <c r="C22" s="114">
        <v>1</v>
      </c>
      <c r="D22" s="114">
        <v>1</v>
      </c>
    </row>
    <row r="23" spans="1:4">
      <c r="A23" s="115" t="s">
        <v>77</v>
      </c>
      <c r="B23" s="116" t="s">
        <v>10</v>
      </c>
      <c r="C23" s="117">
        <f>SUM(C14:C22)</f>
        <v>37.799999999999997</v>
      </c>
      <c r="D23" s="117">
        <f>SUM(D14:D22)</f>
        <v>37.799999999999997</v>
      </c>
    </row>
    <row r="24" spans="1:4">
      <c r="A24" s="586" t="s">
        <v>108</v>
      </c>
      <c r="B24" s="586"/>
      <c r="C24" s="586"/>
      <c r="D24" s="586"/>
    </row>
    <row r="25" spans="1:4">
      <c r="A25" s="112" t="s">
        <v>109</v>
      </c>
      <c r="B25" s="113" t="s">
        <v>110</v>
      </c>
      <c r="C25" s="114">
        <v>17.87</v>
      </c>
      <c r="D25" s="118" t="s">
        <v>111</v>
      </c>
    </row>
    <row r="26" spans="1:4">
      <c r="A26" s="112" t="s">
        <v>112</v>
      </c>
      <c r="B26" s="113" t="s">
        <v>113</v>
      </c>
      <c r="C26" s="114">
        <v>3.95</v>
      </c>
      <c r="D26" s="118" t="s">
        <v>111</v>
      </c>
    </row>
    <row r="27" spans="1:4">
      <c r="A27" s="112" t="s">
        <v>114</v>
      </c>
      <c r="B27" s="113" t="s">
        <v>115</v>
      </c>
      <c r="C27" s="114">
        <v>0.85</v>
      </c>
      <c r="D27" s="114">
        <v>0.66</v>
      </c>
    </row>
    <row r="28" spans="1:4">
      <c r="A28" s="112" t="s">
        <v>116</v>
      </c>
      <c r="B28" s="113" t="s">
        <v>117</v>
      </c>
      <c r="C28" s="114">
        <v>10.84</v>
      </c>
      <c r="D28" s="114">
        <v>8.33</v>
      </c>
    </row>
    <row r="29" spans="1:4">
      <c r="A29" s="112" t="s">
        <v>118</v>
      </c>
      <c r="B29" s="113" t="s">
        <v>119</v>
      </c>
      <c r="C29" s="114">
        <v>7.0000000000000007E-2</v>
      </c>
      <c r="D29" s="114">
        <v>0.06</v>
      </c>
    </row>
    <row r="30" spans="1:4">
      <c r="A30" s="112" t="s">
        <v>120</v>
      </c>
      <c r="B30" s="113" t="s">
        <v>121</v>
      </c>
      <c r="C30" s="114">
        <v>0.72</v>
      </c>
      <c r="D30" s="114">
        <v>0.56000000000000005</v>
      </c>
    </row>
    <row r="31" spans="1:4">
      <c r="A31" s="112" t="s">
        <v>122</v>
      </c>
      <c r="B31" s="113" t="s">
        <v>123</v>
      </c>
      <c r="C31" s="114">
        <v>1.48</v>
      </c>
      <c r="D31" s="118" t="s">
        <v>111</v>
      </c>
    </row>
    <row r="32" spans="1:4">
      <c r="A32" s="112" t="s">
        <v>124</v>
      </c>
      <c r="B32" s="113" t="s">
        <v>125</v>
      </c>
      <c r="C32" s="114">
        <v>0.1</v>
      </c>
      <c r="D32" s="114">
        <v>0.08</v>
      </c>
    </row>
    <row r="33" spans="1:4">
      <c r="A33" s="112" t="s">
        <v>126</v>
      </c>
      <c r="B33" s="113" t="s">
        <v>127</v>
      </c>
      <c r="C33" s="114">
        <v>9.1300000000000008</v>
      </c>
      <c r="D33" s="114">
        <v>7.02</v>
      </c>
    </row>
    <row r="34" spans="1:4">
      <c r="A34" s="112" t="s">
        <v>128</v>
      </c>
      <c r="B34" s="113" t="s">
        <v>129</v>
      </c>
      <c r="C34" s="114">
        <v>0.03</v>
      </c>
      <c r="D34" s="114">
        <v>0.02</v>
      </c>
    </row>
    <row r="35" spans="1:4" ht="24">
      <c r="A35" s="115" t="s">
        <v>79</v>
      </c>
      <c r="B35" s="119" t="s">
        <v>130</v>
      </c>
      <c r="C35" s="117">
        <f>SUM(C25:C34)</f>
        <v>45.040000000000006</v>
      </c>
      <c r="D35" s="117">
        <f>SUM(D25:D34)</f>
        <v>16.73</v>
      </c>
    </row>
    <row r="36" spans="1:4">
      <c r="A36" s="586" t="s">
        <v>131</v>
      </c>
      <c r="B36" s="586"/>
      <c r="C36" s="586"/>
      <c r="D36" s="586"/>
    </row>
    <row r="37" spans="1:4">
      <c r="A37" s="112" t="s">
        <v>132</v>
      </c>
      <c r="B37" s="113" t="s">
        <v>133</v>
      </c>
      <c r="C37" s="114">
        <v>4.49</v>
      </c>
      <c r="D37" s="114">
        <v>3.46</v>
      </c>
    </row>
    <row r="38" spans="1:4">
      <c r="A38" s="112" t="s">
        <v>134</v>
      </c>
      <c r="B38" s="113" t="s">
        <v>135</v>
      </c>
      <c r="C38" s="114">
        <v>0.11</v>
      </c>
      <c r="D38" s="114">
        <v>0.08</v>
      </c>
    </row>
    <row r="39" spans="1:4">
      <c r="A39" s="112" t="s">
        <v>136</v>
      </c>
      <c r="B39" s="113" t="s">
        <v>137</v>
      </c>
      <c r="C39" s="114">
        <v>4.54</v>
      </c>
      <c r="D39" s="114">
        <v>3.49</v>
      </c>
    </row>
    <row r="40" spans="1:4">
      <c r="A40" s="112" t="s">
        <v>138</v>
      </c>
      <c r="B40" s="113" t="s">
        <v>139</v>
      </c>
      <c r="C40" s="114">
        <v>3.11</v>
      </c>
      <c r="D40" s="114">
        <v>2.39</v>
      </c>
    </row>
    <row r="41" spans="1:4">
      <c r="A41" s="112" t="s">
        <v>140</v>
      </c>
      <c r="B41" s="113" t="s">
        <v>141</v>
      </c>
      <c r="C41" s="114">
        <v>0.38</v>
      </c>
      <c r="D41" s="114">
        <v>0.28999999999999998</v>
      </c>
    </row>
    <row r="42" spans="1:4" ht="24">
      <c r="A42" s="115" t="s">
        <v>80</v>
      </c>
      <c r="B42" s="119" t="s">
        <v>142</v>
      </c>
      <c r="C42" s="117">
        <f>SUM(C37:C41)</f>
        <v>12.63</v>
      </c>
      <c r="D42" s="117">
        <f>SUM(D37:D41)</f>
        <v>9.7099999999999991</v>
      </c>
    </row>
    <row r="43" spans="1:4">
      <c r="A43" s="586" t="s">
        <v>143</v>
      </c>
      <c r="B43" s="586"/>
      <c r="C43" s="586"/>
      <c r="D43" s="586"/>
    </row>
    <row r="44" spans="1:4">
      <c r="A44" s="112" t="s">
        <v>144</v>
      </c>
      <c r="B44" s="120" t="s">
        <v>145</v>
      </c>
      <c r="C44" s="114">
        <v>17.03</v>
      </c>
      <c r="D44" s="114">
        <v>6.32</v>
      </c>
    </row>
    <row r="45" spans="1:4" ht="22.8">
      <c r="A45" s="112" t="s">
        <v>146</v>
      </c>
      <c r="B45" s="120" t="s">
        <v>147</v>
      </c>
      <c r="C45" s="114">
        <v>0.4</v>
      </c>
      <c r="D45" s="114">
        <v>0.31</v>
      </c>
    </row>
    <row r="46" spans="1:4">
      <c r="A46" s="115" t="s">
        <v>83</v>
      </c>
      <c r="B46" s="116" t="s">
        <v>10</v>
      </c>
      <c r="C46" s="117">
        <f>SUM(C44:C45)</f>
        <v>17.43</v>
      </c>
      <c r="D46" s="117">
        <f>SUM(D44:D45)</f>
        <v>6.63</v>
      </c>
    </row>
    <row r="47" spans="1:4" s="334" customFormat="1">
      <c r="A47" s="344"/>
      <c r="B47" s="344" t="s">
        <v>148</v>
      </c>
      <c r="C47" s="345">
        <f>SUM(C46+C42+C35+C23)</f>
        <v>112.9</v>
      </c>
      <c r="D47" s="345">
        <f>SUM(D46+D42+D35+D23)</f>
        <v>70.87</v>
      </c>
    </row>
    <row r="48" spans="1:4">
      <c r="A48" s="121"/>
      <c r="B48" s="122"/>
      <c r="C48" s="122"/>
      <c r="D48" s="122"/>
    </row>
    <row r="49" spans="1:7">
      <c r="A49" s="587"/>
      <c r="B49" s="587"/>
      <c r="C49" s="587"/>
      <c r="D49" s="587"/>
    </row>
    <row r="50" spans="1:7">
      <c r="A50" s="587"/>
      <c r="B50" s="587"/>
      <c r="C50" s="587"/>
      <c r="D50" s="587"/>
    </row>
    <row r="51" spans="1:7">
      <c r="A51" s="588"/>
      <c r="B51" s="588"/>
      <c r="C51" s="588"/>
      <c r="D51" s="588"/>
    </row>
    <row r="52" spans="1:7">
      <c r="A52" s="588"/>
      <c r="B52" s="588"/>
      <c r="C52" s="588"/>
      <c r="D52" s="588"/>
    </row>
    <row r="53" spans="1:7">
      <c r="A53" s="588"/>
      <c r="B53" s="588"/>
      <c r="C53" s="588"/>
      <c r="D53" s="588"/>
    </row>
    <row r="54" spans="1:7">
      <c r="A54" s="583"/>
      <c r="B54" s="583"/>
      <c r="C54" s="583"/>
      <c r="D54" s="583"/>
    </row>
    <row r="61" spans="1:7">
      <c r="B61" s="110" t="s">
        <v>879</v>
      </c>
      <c r="F61" s="110">
        <f>0.06756</f>
        <v>6.7559999999999995E-2</v>
      </c>
      <c r="G61" s="110">
        <v>5500</v>
      </c>
    </row>
    <row r="69" spans="2:7">
      <c r="B69" s="110" t="s">
        <v>879</v>
      </c>
      <c r="F69" s="110">
        <f>0.06756*2</f>
        <v>0.13511999999999999</v>
      </c>
      <c r="G69" s="110">
        <v>5500</v>
      </c>
    </row>
    <row r="98" spans="2:9">
      <c r="B98" s="110" t="s">
        <v>879</v>
      </c>
      <c r="G98" s="110">
        <v>5500</v>
      </c>
      <c r="I98" s="110">
        <f>1000*5.5</f>
        <v>5500</v>
      </c>
    </row>
  </sheetData>
  <mergeCells count="73">
    <mergeCell ref="A54:D54"/>
    <mergeCell ref="A10:D10"/>
    <mergeCell ref="A11:D11"/>
    <mergeCell ref="A13:D13"/>
    <mergeCell ref="A24:D24"/>
    <mergeCell ref="A36:D36"/>
    <mergeCell ref="A43:D43"/>
    <mergeCell ref="A49:D49"/>
    <mergeCell ref="A50:D50"/>
    <mergeCell ref="A51:D51"/>
    <mergeCell ref="A52:D52"/>
    <mergeCell ref="A53:D53"/>
    <mergeCell ref="HF8:HI8"/>
    <mergeCell ref="HJ8:HM8"/>
    <mergeCell ref="HN8:HQ8"/>
    <mergeCell ref="HR8:HU8"/>
    <mergeCell ref="HV8:HY8"/>
    <mergeCell ref="A9:D9"/>
    <mergeCell ref="GH8:GK8"/>
    <mergeCell ref="GL8:GO8"/>
    <mergeCell ref="GP8:GS8"/>
    <mergeCell ref="GT8:GW8"/>
    <mergeCell ref="EL8:EO8"/>
    <mergeCell ref="EP8:ES8"/>
    <mergeCell ref="ET8:EW8"/>
    <mergeCell ref="EX8:FA8"/>
    <mergeCell ref="FB8:FE8"/>
    <mergeCell ref="FF8:FI8"/>
    <mergeCell ref="DN8:DQ8"/>
    <mergeCell ref="DR8:DU8"/>
    <mergeCell ref="DV8:DY8"/>
    <mergeCell ref="DZ8:EC8"/>
    <mergeCell ref="ED8:EG8"/>
    <mergeCell ref="GX8:HA8"/>
    <mergeCell ref="HB8:HE8"/>
    <mergeCell ref="FJ8:FM8"/>
    <mergeCell ref="FN8:FQ8"/>
    <mergeCell ref="FR8:FU8"/>
    <mergeCell ref="FV8:FY8"/>
    <mergeCell ref="FZ8:GC8"/>
    <mergeCell ref="GD8:GG8"/>
    <mergeCell ref="EH8:EK8"/>
    <mergeCell ref="CP8:CS8"/>
    <mergeCell ref="CT8:CW8"/>
    <mergeCell ref="CX8:DA8"/>
    <mergeCell ref="DB8:DE8"/>
    <mergeCell ref="DF8:DI8"/>
    <mergeCell ref="DJ8:DM8"/>
    <mergeCell ref="CL8:CO8"/>
    <mergeCell ref="AT8:AW8"/>
    <mergeCell ref="AX8:BA8"/>
    <mergeCell ref="BB8:BE8"/>
    <mergeCell ref="BF8:BI8"/>
    <mergeCell ref="BJ8:BM8"/>
    <mergeCell ref="BN8:BQ8"/>
    <mergeCell ref="BR8:BU8"/>
    <mergeCell ref="BV8:BY8"/>
    <mergeCell ref="BZ8:CC8"/>
    <mergeCell ref="CD8:CG8"/>
    <mergeCell ref="CH8:CK8"/>
    <mergeCell ref="AP8:AS8"/>
    <mergeCell ref="A1:D6"/>
    <mergeCell ref="A8:D8"/>
    <mergeCell ref="F8:I8"/>
    <mergeCell ref="J8:M8"/>
    <mergeCell ref="N8:Q8"/>
    <mergeCell ref="R8:U8"/>
    <mergeCell ref="A7:D7"/>
    <mergeCell ref="V8:Y8"/>
    <mergeCell ref="Z8:AC8"/>
    <mergeCell ref="AD8:AG8"/>
    <mergeCell ref="AH8:AK8"/>
    <mergeCell ref="AL8:AO8"/>
  </mergeCells>
  <pageMargins left="0.51181102362204722" right="0.51181102362204722" top="0.78740157480314965" bottom="0.78740157480314965" header="0.31496062992125984" footer="0.31496062992125984"/>
  <pageSetup paperSize="9" scale="95" orientation="portrait" r:id="rId1"/>
  <headerFooter>
    <oddHeader>&amp;C&amp;10 Prefeitura Municipal de Barreirinhas
CNPJ: 06.217.954/0001-37
 Av. Joaquim Soeiro de Carvalho, 533, Barreirinhas/MA, CEP 65590-000</oddHeader>
  </headerFooter>
  <colBreaks count="1" manualBreakCount="1">
    <brk id="6" max="57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24"/>
  <sheetViews>
    <sheetView showOutlineSymbols="0" showWhiteSpace="0" view="pageBreakPreview" topLeftCell="A50" zoomScale="90" zoomScaleNormal="100" zoomScaleSheetLayoutView="90" workbookViewId="0">
      <selection activeCell="J26" sqref="J26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6" style="110" bestFit="1" customWidth="1"/>
    <col min="11" max="11" width="16.6640625" style="110" bestFit="1" customWidth="1"/>
    <col min="12" max="16384" width="8.88671875" style="110"/>
  </cols>
  <sheetData>
    <row r="1" spans="1:13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3" ht="90.75" customHeight="1">
      <c r="A2" s="273"/>
      <c r="B2" s="211"/>
      <c r="C2" s="478" t="s">
        <v>1102</v>
      </c>
      <c r="D2" s="478"/>
      <c r="E2" s="491" t="s">
        <v>1093</v>
      </c>
      <c r="F2" s="491"/>
      <c r="G2" s="493">
        <v>0.24229999999999999</v>
      </c>
      <c r="H2" s="491"/>
      <c r="I2" s="211" t="s">
        <v>427</v>
      </c>
    </row>
    <row r="3" spans="1:13" ht="19.95" customHeight="1">
      <c r="A3" s="494" t="s">
        <v>1108</v>
      </c>
      <c r="B3" s="495"/>
      <c r="C3" s="495"/>
      <c r="D3" s="495"/>
      <c r="E3" s="495"/>
      <c r="F3" s="495"/>
      <c r="G3" s="495"/>
      <c r="H3" s="495"/>
      <c r="I3" s="495"/>
    </row>
    <row r="4" spans="1:13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3" s="334" customFormat="1" ht="25.95" customHeight="1">
      <c r="A5" s="330">
        <v>2</v>
      </c>
      <c r="B5" s="330"/>
      <c r="C5" s="330"/>
      <c r="D5" s="330" t="s">
        <v>1105</v>
      </c>
      <c r="E5" s="330"/>
      <c r="F5" s="335"/>
      <c r="G5" s="332"/>
      <c r="H5" s="332"/>
      <c r="I5" s="333">
        <f>I6+I13+I19+I25+I30</f>
        <v>4441233.6100000003</v>
      </c>
      <c r="J5" s="336">
        <v>1047656.68</v>
      </c>
      <c r="K5" s="336">
        <f>J5-I5</f>
        <v>-3393576.93</v>
      </c>
      <c r="M5" s="364" t="s">
        <v>513</v>
      </c>
    </row>
    <row r="6" spans="1:13" s="334" customFormat="1" ht="24" customHeight="1">
      <c r="A6" s="330" t="s">
        <v>26</v>
      </c>
      <c r="B6" s="330"/>
      <c r="C6" s="330"/>
      <c r="D6" s="330" t="s">
        <v>433</v>
      </c>
      <c r="E6" s="330"/>
      <c r="F6" s="335"/>
      <c r="G6" s="332"/>
      <c r="H6" s="332"/>
      <c r="I6" s="333">
        <f>SUM(I7:I12)</f>
        <v>30184.42</v>
      </c>
      <c r="M6" s="327" t="s">
        <v>881</v>
      </c>
    </row>
    <row r="7" spans="1:13" ht="39" customHeight="1">
      <c r="A7" s="237" t="s">
        <v>444</v>
      </c>
      <c r="B7" s="238">
        <v>13072021</v>
      </c>
      <c r="C7" s="237" t="s">
        <v>76</v>
      </c>
      <c r="D7" s="237" t="s">
        <v>363</v>
      </c>
      <c r="E7" s="239" t="s">
        <v>364</v>
      </c>
      <c r="F7" s="241">
        <f>'Orçamento - Santa Rosa'!F12+'Orçamento - Baixão dos Julios'!F12+'Orçamento - Santo Inácio'!F12+'Orçamento - Cedro'!F12+'Orçamento - Mamede'!F12</f>
        <v>80.300000000000011</v>
      </c>
      <c r="G7" s="271">
        <f>CPUs!H32</f>
        <v>109.71000000000001</v>
      </c>
      <c r="H7" s="271">
        <f t="shared" ref="H7:H32" si="0">ROUND(G7*(100%+$G$2),2)</f>
        <v>136.29</v>
      </c>
      <c r="I7" s="271">
        <f t="shared" ref="I7:I12" si="1">ROUND(H7*F7,2)</f>
        <v>10944.09</v>
      </c>
      <c r="M7" s="327" t="s">
        <v>882</v>
      </c>
    </row>
    <row r="8" spans="1:13" ht="25.95" customHeight="1">
      <c r="A8" s="237" t="s">
        <v>445</v>
      </c>
      <c r="B8" s="238">
        <v>98524</v>
      </c>
      <c r="C8" s="237" t="s">
        <v>23</v>
      </c>
      <c r="D8" s="237" t="s">
        <v>434</v>
      </c>
      <c r="E8" s="239" t="s">
        <v>355</v>
      </c>
      <c r="F8" s="241">
        <f>'Orçamento - Santa Rosa'!F13+'Orçamento - Baixão dos Julios'!F13+'Orçamento - Santo Inácio'!F13+'Orçamento - Cedro'!F13+'Orçamento - Mamede'!F13</f>
        <v>114.52</v>
      </c>
      <c r="G8" s="271">
        <v>2.66</v>
      </c>
      <c r="H8" s="271">
        <f t="shared" si="0"/>
        <v>3.3</v>
      </c>
      <c r="I8" s="271">
        <f t="shared" si="1"/>
        <v>377.92</v>
      </c>
      <c r="M8" s="327" t="s">
        <v>883</v>
      </c>
    </row>
    <row r="9" spans="1:13" ht="52.2" customHeight="1">
      <c r="A9" s="237" t="s">
        <v>446</v>
      </c>
      <c r="B9" s="238">
        <v>100981</v>
      </c>
      <c r="C9" s="237" t="s">
        <v>23</v>
      </c>
      <c r="D9" s="237" t="s">
        <v>435</v>
      </c>
      <c r="E9" s="239" t="s">
        <v>364</v>
      </c>
      <c r="F9" s="241">
        <f>'Orçamento - Santa Rosa'!F14+'Orçamento - Baixão dos Julios'!F14+'Orçamento - Santo Inácio'!F14+'Orçamento - Cedro'!F14+'Orçamento - Mamede'!F14</f>
        <v>112.1</v>
      </c>
      <c r="G9" s="271">
        <v>8.5299999999999994</v>
      </c>
      <c r="H9" s="271">
        <f t="shared" si="0"/>
        <v>10.6</v>
      </c>
      <c r="I9" s="271">
        <f t="shared" si="1"/>
        <v>1188.26</v>
      </c>
      <c r="M9" s="327" t="s">
        <v>877</v>
      </c>
    </row>
    <row r="10" spans="1:13" ht="39" customHeight="1">
      <c r="A10" s="237" t="s">
        <v>447</v>
      </c>
      <c r="B10" s="238">
        <v>93588</v>
      </c>
      <c r="C10" s="237" t="s">
        <v>23</v>
      </c>
      <c r="D10" s="237" t="s">
        <v>365</v>
      </c>
      <c r="E10" s="239" t="s">
        <v>366</v>
      </c>
      <c r="F10" s="241">
        <f>'Orçamento - Santa Rosa'!F15+'Orçamento - Baixão dos Julios'!F15+'Orçamento - Santo Inácio'!F15+'Orçamento - Cedro'!F15+'Orçamento - Mamede'!F15</f>
        <v>1121</v>
      </c>
      <c r="G10" s="271">
        <v>2.93</v>
      </c>
      <c r="H10" s="271">
        <f t="shared" si="0"/>
        <v>3.64</v>
      </c>
      <c r="I10" s="271">
        <f t="shared" si="1"/>
        <v>4080.44</v>
      </c>
    </row>
    <row r="11" spans="1:13" ht="25.95" customHeight="1">
      <c r="A11" s="237" t="s">
        <v>448</v>
      </c>
      <c r="B11" s="238">
        <v>99058</v>
      </c>
      <c r="C11" s="237" t="s">
        <v>23</v>
      </c>
      <c r="D11" s="237" t="s">
        <v>436</v>
      </c>
      <c r="E11" s="239" t="s">
        <v>367</v>
      </c>
      <c r="F11" s="241">
        <f>'Orçamento - Santa Rosa'!F16+'Orçamento - Baixão dos Julios'!F16+'Orçamento - Santo Inácio'!F16+'Orçamento - Cedro'!F16+'Orçamento - Mamede'!F16</f>
        <v>20</v>
      </c>
      <c r="G11" s="271">
        <v>9.49</v>
      </c>
      <c r="H11" s="271">
        <f t="shared" si="0"/>
        <v>11.79</v>
      </c>
      <c r="I11" s="271">
        <f t="shared" si="1"/>
        <v>235.8</v>
      </c>
    </row>
    <row r="12" spans="1:13" ht="30" customHeight="1">
      <c r="A12" s="237" t="s">
        <v>449</v>
      </c>
      <c r="B12" s="238" t="s">
        <v>368</v>
      </c>
      <c r="C12" s="237" t="s">
        <v>76</v>
      </c>
      <c r="D12" s="237" t="s">
        <v>369</v>
      </c>
      <c r="E12" s="239" t="s">
        <v>355</v>
      </c>
      <c r="F12" s="241">
        <f>'Orçamento - Santa Rosa'!F17+'Orçamento - Baixão dos Julios'!F17+'Orçamento - Santo Inácio'!F17+'Orçamento - Cedro'!F17+'Orçamento - Mamede'!F17</f>
        <v>401.5</v>
      </c>
      <c r="G12" s="271">
        <f>CPUs!H37</f>
        <v>26.78</v>
      </c>
      <c r="H12" s="271">
        <f t="shared" si="0"/>
        <v>33.270000000000003</v>
      </c>
      <c r="I12" s="271">
        <f t="shared" si="1"/>
        <v>13357.91</v>
      </c>
    </row>
    <row r="13" spans="1:13" s="334" customFormat="1" ht="24" customHeight="1">
      <c r="A13" s="330" t="s">
        <v>274</v>
      </c>
      <c r="B13" s="330"/>
      <c r="C13" s="330"/>
      <c r="D13" s="330" t="s">
        <v>370</v>
      </c>
      <c r="E13" s="330"/>
      <c r="F13" s="335"/>
      <c r="G13" s="332"/>
      <c r="H13" s="332"/>
      <c r="I13" s="333">
        <f>SUM(I14:I18)</f>
        <v>49381.56</v>
      </c>
    </row>
    <row r="14" spans="1:13" ht="52.2" customHeight="1">
      <c r="A14" s="237" t="s">
        <v>450</v>
      </c>
      <c r="B14" s="238">
        <v>101144</v>
      </c>
      <c r="C14" s="237" t="s">
        <v>23</v>
      </c>
      <c r="D14" s="237" t="s">
        <v>371</v>
      </c>
      <c r="E14" s="239" t="s">
        <v>364</v>
      </c>
      <c r="F14" s="241">
        <f>'Orçamento - Santa Rosa'!F19+'Orçamento - Baixão dos Julios'!F19+'Orçamento - Santo Inácio'!F19+'Orçamento - Cedro'!F19+'Orçamento - Mamede'!F19</f>
        <v>230.55</v>
      </c>
      <c r="G14" s="271">
        <v>14.96</v>
      </c>
      <c r="H14" s="271">
        <f t="shared" si="0"/>
        <v>18.579999999999998</v>
      </c>
      <c r="I14" s="271">
        <f>ROUND(H14*F14,2)</f>
        <v>4283.62</v>
      </c>
    </row>
    <row r="15" spans="1:13" ht="39" customHeight="1">
      <c r="A15" s="237" t="s">
        <v>451</v>
      </c>
      <c r="B15" s="238">
        <v>93588</v>
      </c>
      <c r="C15" s="237" t="s">
        <v>23</v>
      </c>
      <c r="D15" s="237" t="s">
        <v>422</v>
      </c>
      <c r="E15" s="239" t="s">
        <v>366</v>
      </c>
      <c r="F15" s="241">
        <f>'Orçamento - Santa Rosa'!F20+'Orçamento - Baixão dos Julios'!F20+'Orçamento - Santo Inácio'!F20+'Orçamento - Cedro'!F20+'Orçamento - Mamede'!F20</f>
        <v>2651.35</v>
      </c>
      <c r="G15" s="271">
        <v>2.93</v>
      </c>
      <c r="H15" s="271">
        <f t="shared" si="0"/>
        <v>3.64</v>
      </c>
      <c r="I15" s="271">
        <f>ROUND(H15*F15,2)</f>
        <v>9650.91</v>
      </c>
    </row>
    <row r="16" spans="1:13" ht="34.950000000000003" customHeight="1">
      <c r="A16" s="237" t="s">
        <v>452</v>
      </c>
      <c r="B16" s="238">
        <v>6081</v>
      </c>
      <c r="C16" s="237" t="s">
        <v>23</v>
      </c>
      <c r="D16" s="237" t="s">
        <v>437</v>
      </c>
      <c r="E16" s="239" t="s">
        <v>364</v>
      </c>
      <c r="F16" s="241">
        <f>'Orçamento - Santa Rosa'!F21+'Orçamento - Baixão dos Julios'!F21+'Orçamento - Santo Inácio'!F21+'Orçamento - Cedro'!F21+'Orçamento - Mamede'!F21</f>
        <v>199.78000000000003</v>
      </c>
      <c r="G16" s="271">
        <v>82.09</v>
      </c>
      <c r="H16" s="271">
        <f t="shared" si="0"/>
        <v>101.98</v>
      </c>
      <c r="I16" s="271">
        <f>ROUND(H16*F16,2)</f>
        <v>20373.560000000001</v>
      </c>
    </row>
    <row r="17" spans="1:16" ht="39" customHeight="1">
      <c r="A17" s="237" t="s">
        <v>453</v>
      </c>
      <c r="B17" s="238">
        <v>93588</v>
      </c>
      <c r="C17" s="237" t="s">
        <v>23</v>
      </c>
      <c r="D17" s="237" t="s">
        <v>365</v>
      </c>
      <c r="E17" s="239" t="s">
        <v>366</v>
      </c>
      <c r="F17" s="241">
        <f>'Orçamento - Santa Rosa'!F22+'Orçamento - Baixão dos Julios'!F22+'Orçamento - Santo Inácio'!F22+'Orçamento - Cedro'!F22+'Orçamento - Mamede'!F22</f>
        <v>2297.4900000000002</v>
      </c>
      <c r="G17" s="271">
        <v>2.93</v>
      </c>
      <c r="H17" s="271">
        <f t="shared" si="0"/>
        <v>3.64</v>
      </c>
      <c r="I17" s="271">
        <f>ROUND(H17*F17,2)</f>
        <v>8362.86</v>
      </c>
    </row>
    <row r="18" spans="1:16" ht="31.2" customHeight="1">
      <c r="A18" s="237" t="s">
        <v>454</v>
      </c>
      <c r="B18" s="238">
        <v>93382</v>
      </c>
      <c r="C18" s="237" t="s">
        <v>23</v>
      </c>
      <c r="D18" s="237" t="s">
        <v>423</v>
      </c>
      <c r="E18" s="239" t="s">
        <v>364</v>
      </c>
      <c r="F18" s="241">
        <f>'Orçamento - Santa Rosa'!F23+'Orçamento - Baixão dos Julios'!F23+'Orçamento - Santo Inácio'!F23+'Orçamento - Cedro'!F23+'Orçamento - Mamede'!F23</f>
        <v>199.78000000000003</v>
      </c>
      <c r="G18" s="271">
        <v>27.04</v>
      </c>
      <c r="H18" s="271">
        <f t="shared" si="0"/>
        <v>33.590000000000003</v>
      </c>
      <c r="I18" s="271">
        <f>ROUND(H18*F18,2)</f>
        <v>6710.61</v>
      </c>
    </row>
    <row r="19" spans="1:16" s="334" customFormat="1" ht="31.2" customHeight="1">
      <c r="A19" s="330" t="s">
        <v>278</v>
      </c>
      <c r="B19" s="330"/>
      <c r="C19" s="330"/>
      <c r="D19" s="330" t="s">
        <v>1106</v>
      </c>
      <c r="E19" s="330"/>
      <c r="F19" s="335"/>
      <c r="G19" s="332"/>
      <c r="H19" s="332"/>
      <c r="I19" s="333">
        <f>SUM(I21:I24)</f>
        <v>2237897.7999999998</v>
      </c>
    </row>
    <row r="20" spans="1:16" ht="39" customHeight="1">
      <c r="A20" s="237" t="s">
        <v>455</v>
      </c>
      <c r="B20" s="238">
        <v>31115</v>
      </c>
      <c r="C20" s="237" t="s">
        <v>76</v>
      </c>
      <c r="D20" s="237" t="s">
        <v>578</v>
      </c>
      <c r="E20" s="239" t="s">
        <v>333</v>
      </c>
      <c r="F20" s="241">
        <f>'Orçamento - Santa Rosa'!F25+'Orçamento - Baixão dos Julios'!F25+'Orçamento - Santo Inácio'!F25+'Orçamento - Cedro'!F25+'Orçamento - Mamede'!F25</f>
        <v>600</v>
      </c>
      <c r="G20" s="271">
        <f>CPUs!H58</f>
        <v>390.18999999999994</v>
      </c>
      <c r="H20" s="271">
        <f t="shared" ref="H20" si="2">ROUND(G20*(100%+$G$2),2)</f>
        <v>484.73</v>
      </c>
      <c r="I20" s="271">
        <f>ROUND(H20*F20,2)</f>
        <v>290838</v>
      </c>
      <c r="K20" s="110">
        <v>96616</v>
      </c>
    </row>
    <row r="21" spans="1:16" ht="39" customHeight="1">
      <c r="A21" s="237" t="s">
        <v>542</v>
      </c>
      <c r="B21" s="238">
        <v>96616</v>
      </c>
      <c r="C21" s="237" t="s">
        <v>23</v>
      </c>
      <c r="D21" s="237" t="s">
        <v>555</v>
      </c>
      <c r="E21" s="239" t="s">
        <v>364</v>
      </c>
      <c r="F21" s="241">
        <f>'Orçamento - Santa Rosa'!F26+'Orçamento - Baixão dos Julios'!F26+'Orçamento - Santo Inácio'!F26+'Orçamento - Cedro'!F26+'Orçamento - Mamede'!F26</f>
        <v>2.76</v>
      </c>
      <c r="G21" s="271">
        <v>581.69000000000005</v>
      </c>
      <c r="H21" s="271">
        <f t="shared" ref="H21" si="3">ROUND(G21*(100%+$G$2),2)</f>
        <v>722.63</v>
      </c>
      <c r="I21" s="271">
        <f>ROUND(H21*F21,2)</f>
        <v>1994.46</v>
      </c>
      <c r="K21" s="110">
        <v>96616</v>
      </c>
    </row>
    <row r="22" spans="1:16" ht="39" customHeight="1">
      <c r="A22" s="237" t="s">
        <v>546</v>
      </c>
      <c r="B22" s="238">
        <v>104484</v>
      </c>
      <c r="C22" s="237" t="s">
        <v>23</v>
      </c>
      <c r="D22" s="237" t="s">
        <v>548</v>
      </c>
      <c r="E22" s="239" t="s">
        <v>364</v>
      </c>
      <c r="F22" s="241">
        <f>'Orçamento - Santa Rosa'!F27+'Orçamento - Baixão dos Julios'!F27+'Orçamento - Santo Inácio'!F27+'Orçamento - Cedro'!F27+'Orçamento - Mamede'!F27</f>
        <v>192.78000000000003</v>
      </c>
      <c r="G22" s="271">
        <v>3843.08</v>
      </c>
      <c r="H22" s="271">
        <f t="shared" si="0"/>
        <v>4774.26</v>
      </c>
      <c r="I22" s="271">
        <f>ROUND(H22*F22,2)</f>
        <v>920381.84</v>
      </c>
      <c r="J22" s="110">
        <f>F22/2</f>
        <v>96.390000000000015</v>
      </c>
      <c r="K22" s="110">
        <v>96616</v>
      </c>
      <c r="O22" s="110">
        <v>104484</v>
      </c>
      <c r="P22" s="315">
        <v>3843.08</v>
      </c>
    </row>
    <row r="23" spans="1:16" ht="39" customHeight="1">
      <c r="A23" s="237" t="s">
        <v>580</v>
      </c>
      <c r="B23" s="238">
        <v>31115</v>
      </c>
      <c r="C23" s="237" t="s">
        <v>76</v>
      </c>
      <c r="D23" s="237" t="s">
        <v>602</v>
      </c>
      <c r="E23" s="239" t="s">
        <v>333</v>
      </c>
      <c r="F23" s="241">
        <f>'Orçamento - Santa Rosa'!F28+'Orçamento - Baixão dos Julios'!F28+'Orçamento - Santo Inácio'!F28+'Orçamento - Cedro'!F28+'Orçamento - Mamede'!F28</f>
        <v>1008</v>
      </c>
      <c r="G23" s="271">
        <f>CPUs!H66</f>
        <v>780.37999999999988</v>
      </c>
      <c r="H23" s="271">
        <f t="shared" ref="H23" si="4">ROUND(G23*(100%+$G$2),2)</f>
        <v>969.47</v>
      </c>
      <c r="I23" s="271">
        <f>ROUND(H23*F23,2)</f>
        <v>977225.76</v>
      </c>
      <c r="J23" s="110">
        <f>F23/2</f>
        <v>504</v>
      </c>
    </row>
    <row r="24" spans="1:16" ht="39" customHeight="1">
      <c r="A24" s="237" t="s">
        <v>581</v>
      </c>
      <c r="B24" s="238" t="s">
        <v>547</v>
      </c>
      <c r="C24" s="237" t="s">
        <v>76</v>
      </c>
      <c r="D24" s="237" t="s">
        <v>538</v>
      </c>
      <c r="E24" s="239" t="s">
        <v>333</v>
      </c>
      <c r="F24" s="241">
        <f>'Orçamento - Santa Rosa'!F29+'Orçamento - Baixão dos Julios'!F29+'Orçamento - Santo Inácio'!F29+'Orçamento - Cedro'!F29+'Orçamento - Mamede'!F29</f>
        <v>305.83999999999997</v>
      </c>
      <c r="G24" s="271">
        <f>CPUs!H74</f>
        <v>890.38</v>
      </c>
      <c r="H24" s="271">
        <f t="shared" ref="H24" si="5">ROUND(G24*(100%+$G$2),2)</f>
        <v>1106.1199999999999</v>
      </c>
      <c r="I24" s="271">
        <f>ROUND(H24*F24,2)</f>
        <v>338295.74</v>
      </c>
    </row>
    <row r="25" spans="1:16" s="334" customFormat="1" ht="24" customHeight="1">
      <c r="A25" s="330" t="s">
        <v>293</v>
      </c>
      <c r="B25" s="330"/>
      <c r="C25" s="330"/>
      <c r="D25" s="330" t="s">
        <v>373</v>
      </c>
      <c r="E25" s="330"/>
      <c r="F25" s="335"/>
      <c r="G25" s="332"/>
      <c r="H25" s="332"/>
      <c r="I25" s="333">
        <f>SUM(I26:I29)</f>
        <v>2121309.2600000002</v>
      </c>
    </row>
    <row r="26" spans="1:16" ht="24" customHeight="1">
      <c r="A26" s="237" t="s">
        <v>456</v>
      </c>
      <c r="B26" s="238" t="s">
        <v>75</v>
      </c>
      <c r="C26" s="237" t="s">
        <v>76</v>
      </c>
      <c r="D26" s="237" t="s">
        <v>582</v>
      </c>
      <c r="E26" s="239" t="s">
        <v>333</v>
      </c>
      <c r="F26" s="241">
        <f>'Orçamento - Santa Rosa'!F31+'Orçamento - Baixão dos Julios'!F31+'Orçamento - Santo Inácio'!F31+'Orçamento - Cedro'!F31+'Orçamento - Mamede'!F31</f>
        <v>2525.1999999999998</v>
      </c>
      <c r="G26" s="271">
        <f>CPUs!H90</f>
        <v>537.33000000000004</v>
      </c>
      <c r="H26" s="271">
        <f>ROUND(G26*(100%+$G$2),2)</f>
        <v>667.53</v>
      </c>
      <c r="I26" s="271">
        <f>ROUND(H26*F26,2)</f>
        <v>1685646.76</v>
      </c>
      <c r="J26" s="110">
        <f>F26/2</f>
        <v>1262.5999999999999</v>
      </c>
    </row>
    <row r="27" spans="1:16" ht="39" customHeight="1">
      <c r="A27" s="237" t="s">
        <v>457</v>
      </c>
      <c r="B27" s="238">
        <v>13072039</v>
      </c>
      <c r="C27" s="237" t="s">
        <v>76</v>
      </c>
      <c r="D27" s="237" t="s">
        <v>374</v>
      </c>
      <c r="E27" s="239" t="s">
        <v>60</v>
      </c>
      <c r="F27" s="241">
        <f>'Orçamento - Santa Rosa'!F32+'Orçamento - Baixão dos Julios'!F32+'Orçamento - Santo Inácio'!F32+'Orçamento - Cedro'!F32+'Orçamento - Mamede'!F32</f>
        <v>240</v>
      </c>
      <c r="G27" s="271">
        <f>CPUs!H109</f>
        <v>136.35</v>
      </c>
      <c r="H27" s="271">
        <f t="shared" si="0"/>
        <v>169.39</v>
      </c>
      <c r="I27" s="271">
        <f>ROUND(H27*F27,2)</f>
        <v>40653.599999999999</v>
      </c>
    </row>
    <row r="28" spans="1:16" ht="71.400000000000006" hidden="1" customHeight="1">
      <c r="A28" s="237" t="s">
        <v>458</v>
      </c>
      <c r="B28" s="238">
        <v>13072040</v>
      </c>
      <c r="C28" s="237" t="s">
        <v>76</v>
      </c>
      <c r="D28" s="237" t="s">
        <v>615</v>
      </c>
      <c r="E28" s="239" t="s">
        <v>355</v>
      </c>
      <c r="F28" s="241">
        <f>'Orçamento - Santa Rosa'!F33+'Orçamento - Baixão dos Julios'!F33+'Orçamento - Santo Inácio'!F33+'Orçamento - Cedro'!F33+'Orçamento - Mamede'!F33</f>
        <v>0</v>
      </c>
      <c r="G28" s="271">
        <f>CPUs!H114</f>
        <v>1106.6899999999998</v>
      </c>
      <c r="H28" s="271">
        <f t="shared" ref="H28" si="6">ROUND(G28*(100%+$G$2),2)</f>
        <v>1374.84</v>
      </c>
      <c r="I28" s="271">
        <f>ROUND(H28*F28,2)</f>
        <v>0</v>
      </c>
    </row>
    <row r="29" spans="1:16" ht="64.95" customHeight="1">
      <c r="A29" s="237" t="s">
        <v>605</v>
      </c>
      <c r="B29" s="238">
        <v>13072041</v>
      </c>
      <c r="C29" s="237" t="s">
        <v>76</v>
      </c>
      <c r="D29" s="237" t="s">
        <v>375</v>
      </c>
      <c r="E29" s="239" t="s">
        <v>28</v>
      </c>
      <c r="F29" s="241">
        <f>'Orçamento - Santa Rosa'!F34+'Orçamento - Baixão dos Julios'!F34+'Orçamento - Santo Inácio'!F34+'Orçamento - Cedro'!F34+'Orçamento - Mamede'!F34</f>
        <v>253</v>
      </c>
      <c r="G29" s="271">
        <f>CPUs!H124</f>
        <v>1256.7800000000002</v>
      </c>
      <c r="H29" s="271">
        <f t="shared" si="0"/>
        <v>1561.3</v>
      </c>
      <c r="I29" s="271">
        <f>ROUND(H29*F29,2)</f>
        <v>395008.9</v>
      </c>
    </row>
    <row r="30" spans="1:16" s="334" customFormat="1" ht="24" customHeight="1">
      <c r="A30" s="330" t="s">
        <v>459</v>
      </c>
      <c r="B30" s="330"/>
      <c r="C30" s="330"/>
      <c r="D30" s="330" t="s">
        <v>376</v>
      </c>
      <c r="E30" s="330"/>
      <c r="F30" s="335"/>
      <c r="G30" s="332"/>
      <c r="H30" s="332"/>
      <c r="I30" s="333">
        <f>SUM(I31:I32)</f>
        <v>2460.5700000000002</v>
      </c>
    </row>
    <row r="31" spans="1:16" ht="25.95" customHeight="1">
      <c r="A31" s="237" t="s">
        <v>460</v>
      </c>
      <c r="B31" s="238">
        <v>99814</v>
      </c>
      <c r="C31" s="237" t="s">
        <v>23</v>
      </c>
      <c r="D31" s="237" t="s">
        <v>377</v>
      </c>
      <c r="E31" s="239" t="s">
        <v>355</v>
      </c>
      <c r="F31" s="241">
        <f>'Orçamento - Santa Rosa'!F36+'Orçamento - Baixão dos Julios'!F36+'Orçamento - Santo Inácio'!F36+'Orçamento - Cedro'!F36+'Orçamento - Mamede'!F36</f>
        <v>406.44999999999993</v>
      </c>
      <c r="G31" s="271">
        <v>1.71</v>
      </c>
      <c r="H31" s="271">
        <f t="shared" ref="H31" si="7">ROUND(G31*(100%+$G$2),2)</f>
        <v>2.12</v>
      </c>
      <c r="I31" s="271">
        <f>ROUND(H31*F31,2)</f>
        <v>861.67</v>
      </c>
    </row>
    <row r="32" spans="1:16" ht="25.95" customHeight="1">
      <c r="A32" s="237" t="s">
        <v>598</v>
      </c>
      <c r="B32" s="238">
        <v>3239</v>
      </c>
      <c r="C32" s="237" t="s">
        <v>599</v>
      </c>
      <c r="D32" s="237" t="s">
        <v>600</v>
      </c>
      <c r="E32" s="239" t="s">
        <v>392</v>
      </c>
      <c r="F32" s="241">
        <f>'Orçamento - Santa Rosa'!F37+'Orçamento - Baixão dos Julios'!F37+'Orçamento - Santo Inácio'!F37+'Orçamento - Cedro'!F37+'Orçamento - Mamede'!F37</f>
        <v>5</v>
      </c>
      <c r="G32" s="271">
        <v>257.41000000000003</v>
      </c>
      <c r="H32" s="271">
        <f t="shared" si="0"/>
        <v>319.77999999999997</v>
      </c>
      <c r="I32" s="271">
        <f>ROUND(H32*F32,2)</f>
        <v>1598.9</v>
      </c>
    </row>
    <row r="33" spans="1:13" s="334" customFormat="1" ht="37.950000000000003" customHeight="1">
      <c r="A33" s="330">
        <v>3</v>
      </c>
      <c r="B33" s="330"/>
      <c r="C33" s="330"/>
      <c r="D33" s="330" t="s">
        <v>1100</v>
      </c>
      <c r="E33" s="330"/>
      <c r="F33" s="335"/>
      <c r="G33" s="332"/>
      <c r="H33" s="332"/>
      <c r="I33" s="333">
        <f>I34+I36+I40+I46+I55</f>
        <v>1355162.54</v>
      </c>
      <c r="J33" s="336">
        <v>1354936.14</v>
      </c>
      <c r="K33" s="336"/>
      <c r="M33" s="364"/>
    </row>
    <row r="34" spans="1:13" s="334" customFormat="1" ht="24" customHeight="1">
      <c r="A34" s="330" t="s">
        <v>24</v>
      </c>
      <c r="B34" s="330"/>
      <c r="C34" s="330"/>
      <c r="D34" s="330" t="s">
        <v>989</v>
      </c>
      <c r="E34" s="330"/>
      <c r="F34" s="335"/>
      <c r="G34" s="332"/>
      <c r="H34" s="332"/>
      <c r="I34" s="333">
        <f>SUM(I35)</f>
        <v>63513.2</v>
      </c>
      <c r="M34" s="327"/>
    </row>
    <row r="35" spans="1:13" ht="25.95" customHeight="1">
      <c r="A35" s="237" t="s">
        <v>990</v>
      </c>
      <c r="B35" s="238" t="s">
        <v>991</v>
      </c>
      <c r="C35" s="237" t="s">
        <v>76</v>
      </c>
      <c r="D35" s="237" t="s">
        <v>992</v>
      </c>
      <c r="E35" s="239" t="s">
        <v>993</v>
      </c>
      <c r="F35" s="241">
        <v>39695.75</v>
      </c>
      <c r="G35" s="271">
        <f>CPUs!J136</f>
        <v>1.29</v>
      </c>
      <c r="H35" s="271">
        <f t="shared" ref="H35" si="8">ROUND(G35*(100%+$G$2),2)</f>
        <v>1.6</v>
      </c>
      <c r="I35" s="271">
        <f>ROUND(H35*F35,2)</f>
        <v>63513.2</v>
      </c>
    </row>
    <row r="36" spans="1:13" s="334" customFormat="1" ht="24" customHeight="1">
      <c r="A36" s="330" t="s">
        <v>994</v>
      </c>
      <c r="B36" s="330"/>
      <c r="C36" s="330"/>
      <c r="D36" s="330" t="s">
        <v>939</v>
      </c>
      <c r="E36" s="330"/>
      <c r="F36" s="335"/>
      <c r="G36" s="332"/>
      <c r="H36" s="332"/>
      <c r="I36" s="333">
        <f>SUM(I37:I39)</f>
        <v>443227.84</v>
      </c>
      <c r="M36" s="327"/>
    </row>
    <row r="37" spans="1:13" ht="25.95" customHeight="1">
      <c r="A37" s="237" t="s">
        <v>995</v>
      </c>
      <c r="B37" s="238" t="s">
        <v>996</v>
      </c>
      <c r="C37" s="237" t="s">
        <v>76</v>
      </c>
      <c r="D37" s="237" t="s">
        <v>997</v>
      </c>
      <c r="E37" s="239" t="s">
        <v>28</v>
      </c>
      <c r="F37" s="241">
        <v>1128</v>
      </c>
      <c r="G37" s="271">
        <f>CPUs!J148</f>
        <v>293.68</v>
      </c>
      <c r="H37" s="271">
        <f t="shared" ref="H37" si="9">ROUND(G37*(100%+$G$2),2)</f>
        <v>364.84</v>
      </c>
      <c r="I37" s="271">
        <f>ROUND(H37*F37,2)</f>
        <v>411539.52</v>
      </c>
    </row>
    <row r="38" spans="1:13" ht="25.95" customHeight="1">
      <c r="A38" s="237" t="s">
        <v>998</v>
      </c>
      <c r="B38" s="238" t="s">
        <v>999</v>
      </c>
      <c r="C38" s="237" t="s">
        <v>76</v>
      </c>
      <c r="D38" s="237" t="s">
        <v>1000</v>
      </c>
      <c r="E38" s="239" t="s">
        <v>28</v>
      </c>
      <c r="F38" s="241">
        <v>376</v>
      </c>
      <c r="G38" s="271">
        <f>CPUs!J155</f>
        <v>64.53</v>
      </c>
      <c r="H38" s="271">
        <f t="shared" ref="H38:H39" si="10">ROUND(G38*(100%+$G$2),2)</f>
        <v>80.17</v>
      </c>
      <c r="I38" s="271">
        <f t="shared" ref="I38:I39" si="11">ROUND(H38*F38,2)</f>
        <v>30143.919999999998</v>
      </c>
    </row>
    <row r="39" spans="1:13" ht="25.95" customHeight="1">
      <c r="A39" s="237" t="s">
        <v>1001</v>
      </c>
      <c r="B39" s="238" t="s">
        <v>1002</v>
      </c>
      <c r="C39" s="237" t="s">
        <v>76</v>
      </c>
      <c r="D39" s="237" t="s">
        <v>1003</v>
      </c>
      <c r="E39" s="239" t="s">
        <v>273</v>
      </c>
      <c r="F39" s="241">
        <v>180</v>
      </c>
      <c r="G39" s="271">
        <f>CPUs!J160</f>
        <v>6.91</v>
      </c>
      <c r="H39" s="271">
        <f t="shared" si="10"/>
        <v>8.58</v>
      </c>
      <c r="I39" s="271">
        <f t="shared" si="11"/>
        <v>1544.4</v>
      </c>
    </row>
    <row r="40" spans="1:13" s="334" customFormat="1" ht="24" customHeight="1">
      <c r="A40" s="330" t="s">
        <v>1004</v>
      </c>
      <c r="B40" s="330"/>
      <c r="C40" s="330"/>
      <c r="D40" s="330" t="s">
        <v>948</v>
      </c>
      <c r="E40" s="330"/>
      <c r="F40" s="335"/>
      <c r="G40" s="332"/>
      <c r="H40" s="332"/>
      <c r="I40" s="333">
        <f>SUM(I41:I45)</f>
        <v>383535.57999999996</v>
      </c>
      <c r="M40" s="327"/>
    </row>
    <row r="41" spans="1:13" ht="25.95" customHeight="1">
      <c r="A41" s="237" t="s">
        <v>1005</v>
      </c>
      <c r="B41" s="238" t="s">
        <v>1006</v>
      </c>
      <c r="C41" s="237" t="s">
        <v>76</v>
      </c>
      <c r="D41" s="237" t="s">
        <v>1007</v>
      </c>
      <c r="E41" s="239" t="s">
        <v>28</v>
      </c>
      <c r="F41" s="241">
        <v>376</v>
      </c>
      <c r="G41" s="271">
        <f>CPUs!J176</f>
        <v>286.56</v>
      </c>
      <c r="H41" s="271">
        <f t="shared" ref="H41" si="12">ROUND(G41*(100%+$G$2),2)</f>
        <v>355.99</v>
      </c>
      <c r="I41" s="271">
        <f t="shared" ref="I41" si="13">ROUND(H41*F41,2)</f>
        <v>133852.24</v>
      </c>
    </row>
    <row r="42" spans="1:13" ht="25.95" customHeight="1">
      <c r="A42" s="237" t="s">
        <v>1008</v>
      </c>
      <c r="B42" s="238" t="s">
        <v>1009</v>
      </c>
      <c r="C42" s="237" t="s">
        <v>76</v>
      </c>
      <c r="D42" s="237" t="s">
        <v>1010</v>
      </c>
      <c r="E42" s="239" t="s">
        <v>28</v>
      </c>
      <c r="F42" s="241">
        <v>420.38</v>
      </c>
      <c r="G42" s="271">
        <f>CPUs!J182</f>
        <v>64.53</v>
      </c>
      <c r="H42" s="271">
        <f t="shared" ref="H42:H45" si="14">ROUND(G42*(100%+$G$2),2)</f>
        <v>80.17</v>
      </c>
      <c r="I42" s="271">
        <f t="shared" ref="I42:I45" si="15">ROUND(H42*F42,2)</f>
        <v>33701.86</v>
      </c>
    </row>
    <row r="43" spans="1:13" ht="25.95" customHeight="1">
      <c r="A43" s="237" t="s">
        <v>1011</v>
      </c>
      <c r="B43" s="238" t="s">
        <v>1012</v>
      </c>
      <c r="C43" s="237" t="s">
        <v>76</v>
      </c>
      <c r="D43" s="237" t="s">
        <v>1013</v>
      </c>
      <c r="E43" s="239" t="s">
        <v>28</v>
      </c>
      <c r="F43" s="241">
        <v>196</v>
      </c>
      <c r="G43" s="271">
        <f>CPUs!J187</f>
        <v>286.56</v>
      </c>
      <c r="H43" s="271">
        <f t="shared" si="14"/>
        <v>355.99</v>
      </c>
      <c r="I43" s="271">
        <f t="shared" si="15"/>
        <v>69774.039999999994</v>
      </c>
    </row>
    <row r="44" spans="1:13" ht="25.95" customHeight="1">
      <c r="A44" s="237" t="s">
        <v>1014</v>
      </c>
      <c r="B44" s="238" t="s">
        <v>1015</v>
      </c>
      <c r="C44" s="237" t="s">
        <v>76</v>
      </c>
      <c r="D44" s="237" t="s">
        <v>1016</v>
      </c>
      <c r="E44" s="239" t="s">
        <v>28</v>
      </c>
      <c r="F44" s="241">
        <v>376</v>
      </c>
      <c r="G44" s="271">
        <f>CPUs!J193</f>
        <v>286.56</v>
      </c>
      <c r="H44" s="271">
        <f t="shared" si="14"/>
        <v>355.99</v>
      </c>
      <c r="I44" s="271">
        <f t="shared" si="15"/>
        <v>133852.24</v>
      </c>
    </row>
    <row r="45" spans="1:13" ht="25.95" customHeight="1">
      <c r="A45" s="237" t="s">
        <v>1017</v>
      </c>
      <c r="B45" s="238" t="s">
        <v>1002</v>
      </c>
      <c r="C45" s="237" t="s">
        <v>76</v>
      </c>
      <c r="D45" s="237" t="s">
        <v>1003</v>
      </c>
      <c r="E45" s="239" t="s">
        <v>273</v>
      </c>
      <c r="F45" s="241">
        <v>1440</v>
      </c>
      <c r="G45" s="271">
        <f>CPUs!J199</f>
        <v>6.91</v>
      </c>
      <c r="H45" s="271">
        <f t="shared" si="14"/>
        <v>8.58</v>
      </c>
      <c r="I45" s="271">
        <f t="shared" si="15"/>
        <v>12355.2</v>
      </c>
    </row>
    <row r="46" spans="1:13" s="334" customFormat="1" ht="24" customHeight="1">
      <c r="A46" s="330" t="s">
        <v>1018</v>
      </c>
      <c r="B46" s="330"/>
      <c r="C46" s="330"/>
      <c r="D46" s="330" t="s">
        <v>49</v>
      </c>
      <c r="E46" s="330"/>
      <c r="F46" s="335"/>
      <c r="G46" s="332"/>
      <c r="H46" s="332"/>
      <c r="I46" s="333">
        <f>SUM(I47:I54)</f>
        <v>427331.61</v>
      </c>
      <c r="M46" s="327"/>
    </row>
    <row r="47" spans="1:13" ht="25.95" customHeight="1">
      <c r="A47" s="237" t="s">
        <v>1019</v>
      </c>
      <c r="B47" s="238" t="s">
        <v>1020</v>
      </c>
      <c r="C47" s="237" t="s">
        <v>76</v>
      </c>
      <c r="D47" s="237" t="s">
        <v>1021</v>
      </c>
      <c r="E47" s="239" t="s">
        <v>28</v>
      </c>
      <c r="F47" s="241">
        <v>480</v>
      </c>
      <c r="G47" s="271">
        <f>CPUs!J215</f>
        <v>286.56</v>
      </c>
      <c r="H47" s="271">
        <f t="shared" ref="H47" si="16">ROUND(G47*(100%+$G$2),2)</f>
        <v>355.99</v>
      </c>
      <c r="I47" s="271">
        <f t="shared" ref="I47:I51" si="17">ROUND(H47*F47,2)</f>
        <v>170875.2</v>
      </c>
    </row>
    <row r="48" spans="1:13" ht="25.95" customHeight="1">
      <c r="A48" s="237" t="s">
        <v>1022</v>
      </c>
      <c r="B48" s="238" t="s">
        <v>1023</v>
      </c>
      <c r="C48" s="237" t="s">
        <v>76</v>
      </c>
      <c r="D48" s="237" t="s">
        <v>1024</v>
      </c>
      <c r="E48" s="239" t="s">
        <v>28</v>
      </c>
      <c r="F48" s="241">
        <v>240</v>
      </c>
      <c r="G48" s="271">
        <f>CPUs!J221</f>
        <v>286.56</v>
      </c>
      <c r="H48" s="271">
        <f t="shared" ref="H48:H54" si="18">ROUND(G48*(100%+$G$2),2)</f>
        <v>355.99</v>
      </c>
      <c r="I48" s="271">
        <f t="shared" si="17"/>
        <v>85437.6</v>
      </c>
    </row>
    <row r="49" spans="1:13" ht="25.95" customHeight="1">
      <c r="A49" s="237" t="s">
        <v>1025</v>
      </c>
      <c r="B49" s="238" t="s">
        <v>1026</v>
      </c>
      <c r="C49" s="237" t="s">
        <v>76</v>
      </c>
      <c r="D49" s="237" t="s">
        <v>1027</v>
      </c>
      <c r="E49" s="239" t="s">
        <v>28</v>
      </c>
      <c r="F49" s="241">
        <v>480</v>
      </c>
      <c r="G49" s="271">
        <f>CPUs!J227</f>
        <v>34.36</v>
      </c>
      <c r="H49" s="271">
        <f t="shared" si="18"/>
        <v>42.69</v>
      </c>
      <c r="I49" s="271">
        <f t="shared" si="17"/>
        <v>20491.2</v>
      </c>
    </row>
    <row r="50" spans="1:13" ht="25.95" customHeight="1">
      <c r="A50" s="237" t="s">
        <v>1028</v>
      </c>
      <c r="B50" s="238" t="s">
        <v>1029</v>
      </c>
      <c r="C50" s="237" t="s">
        <v>76</v>
      </c>
      <c r="D50" s="237" t="s">
        <v>1030</v>
      </c>
      <c r="E50" s="239" t="s">
        <v>28</v>
      </c>
      <c r="F50" s="241">
        <v>288</v>
      </c>
      <c r="G50" s="271">
        <f>CPUs!J232</f>
        <v>34.36</v>
      </c>
      <c r="H50" s="271">
        <f t="shared" si="18"/>
        <v>42.69</v>
      </c>
      <c r="I50" s="271">
        <f t="shared" si="17"/>
        <v>12294.72</v>
      </c>
    </row>
    <row r="51" spans="1:13" ht="25.95" customHeight="1">
      <c r="A51" s="237" t="s">
        <v>1031</v>
      </c>
      <c r="B51" s="238" t="s">
        <v>1032</v>
      </c>
      <c r="C51" s="237" t="s">
        <v>76</v>
      </c>
      <c r="D51" s="237" t="s">
        <v>1033</v>
      </c>
      <c r="E51" s="239" t="s">
        <v>28</v>
      </c>
      <c r="F51" s="241">
        <v>141</v>
      </c>
      <c r="G51" s="271">
        <f>CPUs!J237</f>
        <v>34.36</v>
      </c>
      <c r="H51" s="271">
        <f t="shared" si="18"/>
        <v>42.69</v>
      </c>
      <c r="I51" s="271">
        <f t="shared" si="17"/>
        <v>6019.29</v>
      </c>
    </row>
    <row r="52" spans="1:13" ht="25.95" customHeight="1">
      <c r="A52" s="237" t="s">
        <v>1034</v>
      </c>
      <c r="B52" s="238" t="s">
        <v>1035</v>
      </c>
      <c r="C52" s="237" t="s">
        <v>76</v>
      </c>
      <c r="D52" s="237" t="s">
        <v>1036</v>
      </c>
      <c r="E52" s="239" t="s">
        <v>28</v>
      </c>
      <c r="F52" s="241">
        <v>1920</v>
      </c>
      <c r="G52" s="271">
        <f>CPUs!J242</f>
        <v>34.36</v>
      </c>
      <c r="H52" s="271">
        <f t="shared" si="18"/>
        <v>42.69</v>
      </c>
      <c r="I52" s="271">
        <f t="shared" ref="I52:I54" si="19">ROUND(H52*F52,2)</f>
        <v>81964.800000000003</v>
      </c>
    </row>
    <row r="53" spans="1:13" ht="25.95" customHeight="1">
      <c r="A53" s="237" t="s">
        <v>1037</v>
      </c>
      <c r="B53" s="238" t="s">
        <v>1035</v>
      </c>
      <c r="C53" s="237" t="s">
        <v>76</v>
      </c>
      <c r="D53" s="237" t="s">
        <v>1101</v>
      </c>
      <c r="E53" s="239" t="s">
        <v>28</v>
      </c>
      <c r="F53" s="241">
        <v>960</v>
      </c>
      <c r="G53" s="271">
        <f>CPUs!J247</f>
        <v>34.36</v>
      </c>
      <c r="H53" s="271">
        <f t="shared" si="18"/>
        <v>42.69</v>
      </c>
      <c r="I53" s="271">
        <f t="shared" si="19"/>
        <v>40982.400000000001</v>
      </c>
    </row>
    <row r="54" spans="1:13" ht="25.95" customHeight="1">
      <c r="A54" s="237" t="s">
        <v>1038</v>
      </c>
      <c r="B54" s="238" t="s">
        <v>1002</v>
      </c>
      <c r="C54" s="237" t="s">
        <v>76</v>
      </c>
      <c r="D54" s="237" t="s">
        <v>1003</v>
      </c>
      <c r="E54" s="239" t="s">
        <v>273</v>
      </c>
      <c r="F54" s="241">
        <v>1080</v>
      </c>
      <c r="G54" s="271">
        <f>CPUs!J252</f>
        <v>6.91</v>
      </c>
      <c r="H54" s="271">
        <f t="shared" si="18"/>
        <v>8.58</v>
      </c>
      <c r="I54" s="271">
        <f t="shared" si="19"/>
        <v>9266.4</v>
      </c>
    </row>
    <row r="55" spans="1:13" s="334" customFormat="1" ht="24" customHeight="1">
      <c r="A55" s="330" t="s">
        <v>1039</v>
      </c>
      <c r="B55" s="330"/>
      <c r="C55" s="330"/>
      <c r="D55" s="330" t="s">
        <v>858</v>
      </c>
      <c r="E55" s="330"/>
      <c r="F55" s="335"/>
      <c r="G55" s="332"/>
      <c r="H55" s="332"/>
      <c r="I55" s="333">
        <f>SUM(I56:I58)</f>
        <v>37554.31</v>
      </c>
      <c r="M55" s="327"/>
    </row>
    <row r="56" spans="1:13" ht="52.8">
      <c r="A56" s="237" t="s">
        <v>1040</v>
      </c>
      <c r="B56" s="238" t="s">
        <v>1041</v>
      </c>
      <c r="C56" s="237" t="s">
        <v>23</v>
      </c>
      <c r="D56" s="237" t="s">
        <v>1042</v>
      </c>
      <c r="E56" s="239" t="s">
        <v>364</v>
      </c>
      <c r="F56" s="241">
        <v>206.25</v>
      </c>
      <c r="G56" s="271">
        <v>18.59</v>
      </c>
      <c r="H56" s="271">
        <f t="shared" ref="H56" si="20">ROUND(G56*(100%+$G$2),2)</f>
        <v>23.09</v>
      </c>
      <c r="I56" s="271">
        <f t="shared" ref="I56" si="21">ROUND(H56*F56,2)</f>
        <v>4762.3100000000004</v>
      </c>
    </row>
    <row r="57" spans="1:13" ht="25.95" customHeight="1">
      <c r="A57" s="237" t="s">
        <v>1043</v>
      </c>
      <c r="B57" s="238" t="s">
        <v>1044</v>
      </c>
      <c r="C57" s="237" t="s">
        <v>76</v>
      </c>
      <c r="D57" s="237" t="s">
        <v>1045</v>
      </c>
      <c r="E57" s="239" t="s">
        <v>355</v>
      </c>
      <c r="F57" s="241">
        <v>120</v>
      </c>
      <c r="G57" s="271">
        <f>CPUs!J268</f>
        <v>131.97999999999999</v>
      </c>
      <c r="H57" s="271">
        <f t="shared" ref="H57:H58" si="22">ROUND(G57*(100%+$G$2),2)</f>
        <v>163.96</v>
      </c>
      <c r="I57" s="271">
        <f t="shared" ref="I57:I58" si="23">ROUND(H57*F57,2)</f>
        <v>19675.2</v>
      </c>
    </row>
    <row r="58" spans="1:13" ht="25.95" customHeight="1">
      <c r="A58" s="237" t="s">
        <v>1046</v>
      </c>
      <c r="B58" s="238" t="s">
        <v>1044</v>
      </c>
      <c r="C58" s="237" t="s">
        <v>76</v>
      </c>
      <c r="D58" s="237" t="s">
        <v>1047</v>
      </c>
      <c r="E58" s="239" t="s">
        <v>355</v>
      </c>
      <c r="F58" s="241">
        <v>80</v>
      </c>
      <c r="G58" s="271">
        <f>CPUs!J274</f>
        <v>131.97999999999999</v>
      </c>
      <c r="H58" s="271">
        <f t="shared" si="22"/>
        <v>163.96</v>
      </c>
      <c r="I58" s="271">
        <f t="shared" si="23"/>
        <v>13116.8</v>
      </c>
    </row>
    <row r="59" spans="1:13">
      <c r="A59" s="212"/>
      <c r="B59" s="212"/>
      <c r="C59" s="212"/>
      <c r="D59" s="212"/>
      <c r="E59" s="212"/>
      <c r="F59" s="212"/>
      <c r="G59" s="212"/>
      <c r="H59" s="212"/>
      <c r="I59" s="212"/>
    </row>
    <row r="60" spans="1:13" ht="15.6">
      <c r="A60" s="488"/>
      <c r="B60" s="488"/>
      <c r="C60" s="488"/>
      <c r="D60" s="213"/>
      <c r="E60" s="214"/>
      <c r="F60" s="497" t="s">
        <v>443</v>
      </c>
      <c r="G60" s="497"/>
      <c r="H60" s="497"/>
      <c r="I60" s="464">
        <f>I30+I25+I19+I13+I6+I34+I36+I40+I46+I55</f>
        <v>5796396.1499999994</v>
      </c>
    </row>
    <row r="61" spans="1:13">
      <c r="A61" s="488"/>
      <c r="B61" s="488"/>
      <c r="C61" s="488"/>
      <c r="D61" s="213"/>
      <c r="E61" s="214"/>
      <c r="F61" s="491"/>
      <c r="G61" s="488"/>
      <c r="H61" s="487"/>
      <c r="I61" s="488"/>
    </row>
    <row r="62" spans="1:13">
      <c r="A62" s="488"/>
      <c r="B62" s="488"/>
      <c r="C62" s="488"/>
      <c r="D62" s="213"/>
      <c r="E62" s="214"/>
      <c r="F62" s="491"/>
      <c r="G62" s="488"/>
      <c r="H62" s="487"/>
      <c r="I62" s="488"/>
    </row>
    <row r="63" spans="1:13">
      <c r="A63" s="215"/>
      <c r="B63" s="215"/>
      <c r="C63" s="215"/>
      <c r="D63" s="215"/>
      <c r="E63" s="215"/>
      <c r="F63" s="215"/>
      <c r="G63" s="215"/>
      <c r="H63" s="215"/>
      <c r="I63" s="363">
        <v>1300959.8600000001</v>
      </c>
    </row>
    <row r="64" spans="1:13">
      <c r="A64" s="489" t="s">
        <v>378</v>
      </c>
      <c r="B64" s="490"/>
      <c r="C64" s="490"/>
      <c r="D64" s="490"/>
      <c r="E64" s="490"/>
      <c r="F64" s="490"/>
      <c r="G64" s="490"/>
      <c r="H64" s="490"/>
      <c r="I64" s="490"/>
    </row>
    <row r="87" spans="2:7">
      <c r="B87" s="110" t="s">
        <v>879</v>
      </c>
      <c r="F87" s="110">
        <f>0.06756</f>
        <v>6.7559999999999995E-2</v>
      </c>
      <c r="G87" s="110">
        <v>5500</v>
      </c>
    </row>
    <row r="95" spans="2:7">
      <c r="B95" s="110" t="s">
        <v>879</v>
      </c>
      <c r="F95" s="110">
        <f>0.06756*2</f>
        <v>0.13511999999999999</v>
      </c>
      <c r="G95" s="110">
        <v>5500</v>
      </c>
    </row>
    <row r="124" spans="2:9">
      <c r="B124" s="110" t="s">
        <v>879</v>
      </c>
      <c r="G124" s="110">
        <v>5500</v>
      </c>
      <c r="I124" s="110">
        <f>1000*5.5</f>
        <v>5500</v>
      </c>
    </row>
  </sheetData>
  <mergeCells count="15">
    <mergeCell ref="E1:F1"/>
    <mergeCell ref="G1:H1"/>
    <mergeCell ref="E2:F2"/>
    <mergeCell ref="G2:H2"/>
    <mergeCell ref="A3:I3"/>
    <mergeCell ref="C2:D2"/>
    <mergeCell ref="A62:C62"/>
    <mergeCell ref="F62:G62"/>
    <mergeCell ref="H62:I62"/>
    <mergeCell ref="A64:I64"/>
    <mergeCell ref="A60:C60"/>
    <mergeCell ref="A61:C61"/>
    <mergeCell ref="F61:G61"/>
    <mergeCell ref="H61:I61"/>
    <mergeCell ref="F60:H60"/>
  </mergeCells>
  <pageMargins left="0.51181102362204722" right="0.51181102362204722" top="0.98425196850393704" bottom="0.98425196850393704" header="0.51181102362204722" footer="0.51181102362204722"/>
  <pageSetup paperSize="9" scale="77" fitToHeight="0" orientation="landscape" r:id="rId1"/>
  <headerFooter>
    <oddHeader>&amp;L &amp;C Prefeitura Municipal de Barreirinhas
CNPJ: 06.217.954/0001-37
 Av. Joaquim Soeiro de Carvalho, 533, Barreirinhas/MA, CEP 65590-000</oddHeader>
    <oddFooter>&amp;L &amp;C
 &amp;R</oddFooter>
  </headerFooter>
  <ignoredErrors>
    <ignoredError sqref="I13 I25 I19 I30 I34:I55" formula="1"/>
  </ignoredErrors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theme="8" tint="-0.499984740745262"/>
  </sheetPr>
  <dimension ref="A1:L98"/>
  <sheetViews>
    <sheetView view="pageBreakPreview" topLeftCell="A33" zoomScaleNormal="100" zoomScaleSheetLayoutView="100" workbookViewId="0">
      <selection activeCell="D7" sqref="D7"/>
    </sheetView>
  </sheetViews>
  <sheetFormatPr defaultRowHeight="14.4"/>
  <cols>
    <col min="1" max="2" width="21.33203125" style="126" customWidth="1"/>
    <col min="3" max="3" width="15.5546875" style="126" customWidth="1"/>
    <col min="4" max="4" width="13.88671875" style="126" customWidth="1"/>
    <col min="5" max="5" width="14.88671875" style="126" customWidth="1"/>
    <col min="6" max="10" width="9.109375" style="126"/>
    <col min="11" max="11" width="9.6640625" style="126" bestFit="1" customWidth="1"/>
    <col min="12" max="256" width="9.109375" style="126"/>
    <col min="257" max="258" width="21.33203125" style="126" customWidth="1"/>
    <col min="259" max="259" width="15.5546875" style="126" customWidth="1"/>
    <col min="260" max="260" width="13.88671875" style="126" customWidth="1"/>
    <col min="261" max="261" width="14.88671875" style="126" customWidth="1"/>
    <col min="262" max="266" width="9.109375" style="126"/>
    <col min="267" max="267" width="9.6640625" style="126" bestFit="1" customWidth="1"/>
    <col min="268" max="512" width="9.109375" style="126"/>
    <col min="513" max="514" width="21.33203125" style="126" customWidth="1"/>
    <col min="515" max="515" width="15.5546875" style="126" customWidth="1"/>
    <col min="516" max="516" width="13.88671875" style="126" customWidth="1"/>
    <col min="517" max="517" width="14.88671875" style="126" customWidth="1"/>
    <col min="518" max="522" width="9.109375" style="126"/>
    <col min="523" max="523" width="9.6640625" style="126" bestFit="1" customWidth="1"/>
    <col min="524" max="768" width="9.109375" style="126"/>
    <col min="769" max="770" width="21.33203125" style="126" customWidth="1"/>
    <col min="771" max="771" width="15.5546875" style="126" customWidth="1"/>
    <col min="772" max="772" width="13.88671875" style="126" customWidth="1"/>
    <col min="773" max="773" width="14.88671875" style="126" customWidth="1"/>
    <col min="774" max="778" width="9.109375" style="126"/>
    <col min="779" max="779" width="9.6640625" style="126" bestFit="1" customWidth="1"/>
    <col min="780" max="1024" width="9.109375" style="126"/>
    <col min="1025" max="1026" width="21.33203125" style="126" customWidth="1"/>
    <col min="1027" max="1027" width="15.5546875" style="126" customWidth="1"/>
    <col min="1028" max="1028" width="13.88671875" style="126" customWidth="1"/>
    <col min="1029" max="1029" width="14.88671875" style="126" customWidth="1"/>
    <col min="1030" max="1034" width="9.109375" style="126"/>
    <col min="1035" max="1035" width="9.6640625" style="126" bestFit="1" customWidth="1"/>
    <col min="1036" max="1280" width="9.109375" style="126"/>
    <col min="1281" max="1282" width="21.33203125" style="126" customWidth="1"/>
    <col min="1283" max="1283" width="15.5546875" style="126" customWidth="1"/>
    <col min="1284" max="1284" width="13.88671875" style="126" customWidth="1"/>
    <col min="1285" max="1285" width="14.88671875" style="126" customWidth="1"/>
    <col min="1286" max="1290" width="9.109375" style="126"/>
    <col min="1291" max="1291" width="9.6640625" style="126" bestFit="1" customWidth="1"/>
    <col min="1292" max="1536" width="9.109375" style="126"/>
    <col min="1537" max="1538" width="21.33203125" style="126" customWidth="1"/>
    <col min="1539" max="1539" width="15.5546875" style="126" customWidth="1"/>
    <col min="1540" max="1540" width="13.88671875" style="126" customWidth="1"/>
    <col min="1541" max="1541" width="14.88671875" style="126" customWidth="1"/>
    <col min="1542" max="1546" width="9.109375" style="126"/>
    <col min="1547" max="1547" width="9.6640625" style="126" bestFit="1" customWidth="1"/>
    <col min="1548" max="1792" width="9.109375" style="126"/>
    <col min="1793" max="1794" width="21.33203125" style="126" customWidth="1"/>
    <col min="1795" max="1795" width="15.5546875" style="126" customWidth="1"/>
    <col min="1796" max="1796" width="13.88671875" style="126" customWidth="1"/>
    <col min="1797" max="1797" width="14.88671875" style="126" customWidth="1"/>
    <col min="1798" max="1802" width="9.109375" style="126"/>
    <col min="1803" max="1803" width="9.6640625" style="126" bestFit="1" customWidth="1"/>
    <col min="1804" max="2048" width="9.109375" style="126"/>
    <col min="2049" max="2050" width="21.33203125" style="126" customWidth="1"/>
    <col min="2051" max="2051" width="15.5546875" style="126" customWidth="1"/>
    <col min="2052" max="2052" width="13.88671875" style="126" customWidth="1"/>
    <col min="2053" max="2053" width="14.88671875" style="126" customWidth="1"/>
    <col min="2054" max="2058" width="9.109375" style="126"/>
    <col min="2059" max="2059" width="9.6640625" style="126" bestFit="1" customWidth="1"/>
    <col min="2060" max="2304" width="9.109375" style="126"/>
    <col min="2305" max="2306" width="21.33203125" style="126" customWidth="1"/>
    <col min="2307" max="2307" width="15.5546875" style="126" customWidth="1"/>
    <col min="2308" max="2308" width="13.88671875" style="126" customWidth="1"/>
    <col min="2309" max="2309" width="14.88671875" style="126" customWidth="1"/>
    <col min="2310" max="2314" width="9.109375" style="126"/>
    <col min="2315" max="2315" width="9.6640625" style="126" bestFit="1" customWidth="1"/>
    <col min="2316" max="2560" width="9.109375" style="126"/>
    <col min="2561" max="2562" width="21.33203125" style="126" customWidth="1"/>
    <col min="2563" max="2563" width="15.5546875" style="126" customWidth="1"/>
    <col min="2564" max="2564" width="13.88671875" style="126" customWidth="1"/>
    <col min="2565" max="2565" width="14.88671875" style="126" customWidth="1"/>
    <col min="2566" max="2570" width="9.109375" style="126"/>
    <col min="2571" max="2571" width="9.6640625" style="126" bestFit="1" customWidth="1"/>
    <col min="2572" max="2816" width="9.109375" style="126"/>
    <col min="2817" max="2818" width="21.33203125" style="126" customWidth="1"/>
    <col min="2819" max="2819" width="15.5546875" style="126" customWidth="1"/>
    <col min="2820" max="2820" width="13.88671875" style="126" customWidth="1"/>
    <col min="2821" max="2821" width="14.88671875" style="126" customWidth="1"/>
    <col min="2822" max="2826" width="9.109375" style="126"/>
    <col min="2827" max="2827" width="9.6640625" style="126" bestFit="1" customWidth="1"/>
    <col min="2828" max="3072" width="9.109375" style="126"/>
    <col min="3073" max="3074" width="21.33203125" style="126" customWidth="1"/>
    <col min="3075" max="3075" width="15.5546875" style="126" customWidth="1"/>
    <col min="3076" max="3076" width="13.88671875" style="126" customWidth="1"/>
    <col min="3077" max="3077" width="14.88671875" style="126" customWidth="1"/>
    <col min="3078" max="3082" width="9.109375" style="126"/>
    <col min="3083" max="3083" width="9.6640625" style="126" bestFit="1" customWidth="1"/>
    <col min="3084" max="3328" width="9.109375" style="126"/>
    <col min="3329" max="3330" width="21.33203125" style="126" customWidth="1"/>
    <col min="3331" max="3331" width="15.5546875" style="126" customWidth="1"/>
    <col min="3332" max="3332" width="13.88671875" style="126" customWidth="1"/>
    <col min="3333" max="3333" width="14.88671875" style="126" customWidth="1"/>
    <col min="3334" max="3338" width="9.109375" style="126"/>
    <col min="3339" max="3339" width="9.6640625" style="126" bestFit="1" customWidth="1"/>
    <col min="3340" max="3584" width="9.109375" style="126"/>
    <col min="3585" max="3586" width="21.33203125" style="126" customWidth="1"/>
    <col min="3587" max="3587" width="15.5546875" style="126" customWidth="1"/>
    <col min="3588" max="3588" width="13.88671875" style="126" customWidth="1"/>
    <col min="3589" max="3589" width="14.88671875" style="126" customWidth="1"/>
    <col min="3590" max="3594" width="9.109375" style="126"/>
    <col min="3595" max="3595" width="9.6640625" style="126" bestFit="1" customWidth="1"/>
    <col min="3596" max="3840" width="9.109375" style="126"/>
    <col min="3841" max="3842" width="21.33203125" style="126" customWidth="1"/>
    <col min="3843" max="3843" width="15.5546875" style="126" customWidth="1"/>
    <col min="3844" max="3844" width="13.88671875" style="126" customWidth="1"/>
    <col min="3845" max="3845" width="14.88671875" style="126" customWidth="1"/>
    <col min="3846" max="3850" width="9.109375" style="126"/>
    <col min="3851" max="3851" width="9.6640625" style="126" bestFit="1" customWidth="1"/>
    <col min="3852" max="4096" width="9.109375" style="126"/>
    <col min="4097" max="4098" width="21.33203125" style="126" customWidth="1"/>
    <col min="4099" max="4099" width="15.5546875" style="126" customWidth="1"/>
    <col min="4100" max="4100" width="13.88671875" style="126" customWidth="1"/>
    <col min="4101" max="4101" width="14.88671875" style="126" customWidth="1"/>
    <col min="4102" max="4106" width="9.109375" style="126"/>
    <col min="4107" max="4107" width="9.6640625" style="126" bestFit="1" customWidth="1"/>
    <col min="4108" max="4352" width="9.109375" style="126"/>
    <col min="4353" max="4354" width="21.33203125" style="126" customWidth="1"/>
    <col min="4355" max="4355" width="15.5546875" style="126" customWidth="1"/>
    <col min="4356" max="4356" width="13.88671875" style="126" customWidth="1"/>
    <col min="4357" max="4357" width="14.88671875" style="126" customWidth="1"/>
    <col min="4358" max="4362" width="9.109375" style="126"/>
    <col min="4363" max="4363" width="9.6640625" style="126" bestFit="1" customWidth="1"/>
    <col min="4364" max="4608" width="9.109375" style="126"/>
    <col min="4609" max="4610" width="21.33203125" style="126" customWidth="1"/>
    <col min="4611" max="4611" width="15.5546875" style="126" customWidth="1"/>
    <col min="4612" max="4612" width="13.88671875" style="126" customWidth="1"/>
    <col min="4613" max="4613" width="14.88671875" style="126" customWidth="1"/>
    <col min="4614" max="4618" width="9.109375" style="126"/>
    <col min="4619" max="4619" width="9.6640625" style="126" bestFit="1" customWidth="1"/>
    <col min="4620" max="4864" width="9.109375" style="126"/>
    <col min="4865" max="4866" width="21.33203125" style="126" customWidth="1"/>
    <col min="4867" max="4867" width="15.5546875" style="126" customWidth="1"/>
    <col min="4868" max="4868" width="13.88671875" style="126" customWidth="1"/>
    <col min="4869" max="4869" width="14.88671875" style="126" customWidth="1"/>
    <col min="4870" max="4874" width="9.109375" style="126"/>
    <col min="4875" max="4875" width="9.6640625" style="126" bestFit="1" customWidth="1"/>
    <col min="4876" max="5120" width="9.109375" style="126"/>
    <col min="5121" max="5122" width="21.33203125" style="126" customWidth="1"/>
    <col min="5123" max="5123" width="15.5546875" style="126" customWidth="1"/>
    <col min="5124" max="5124" width="13.88671875" style="126" customWidth="1"/>
    <col min="5125" max="5125" width="14.88671875" style="126" customWidth="1"/>
    <col min="5126" max="5130" width="9.109375" style="126"/>
    <col min="5131" max="5131" width="9.6640625" style="126" bestFit="1" customWidth="1"/>
    <col min="5132" max="5376" width="9.109375" style="126"/>
    <col min="5377" max="5378" width="21.33203125" style="126" customWidth="1"/>
    <col min="5379" max="5379" width="15.5546875" style="126" customWidth="1"/>
    <col min="5380" max="5380" width="13.88671875" style="126" customWidth="1"/>
    <col min="5381" max="5381" width="14.88671875" style="126" customWidth="1"/>
    <col min="5382" max="5386" width="9.109375" style="126"/>
    <col min="5387" max="5387" width="9.6640625" style="126" bestFit="1" customWidth="1"/>
    <col min="5388" max="5632" width="9.109375" style="126"/>
    <col min="5633" max="5634" width="21.33203125" style="126" customWidth="1"/>
    <col min="5635" max="5635" width="15.5546875" style="126" customWidth="1"/>
    <col min="5636" max="5636" width="13.88671875" style="126" customWidth="1"/>
    <col min="5637" max="5637" width="14.88671875" style="126" customWidth="1"/>
    <col min="5638" max="5642" width="9.109375" style="126"/>
    <col min="5643" max="5643" width="9.6640625" style="126" bestFit="1" customWidth="1"/>
    <col min="5644" max="5888" width="9.109375" style="126"/>
    <col min="5889" max="5890" width="21.33203125" style="126" customWidth="1"/>
    <col min="5891" max="5891" width="15.5546875" style="126" customWidth="1"/>
    <col min="5892" max="5892" width="13.88671875" style="126" customWidth="1"/>
    <col min="5893" max="5893" width="14.88671875" style="126" customWidth="1"/>
    <col min="5894" max="5898" width="9.109375" style="126"/>
    <col min="5899" max="5899" width="9.6640625" style="126" bestFit="1" customWidth="1"/>
    <col min="5900" max="6144" width="9.109375" style="126"/>
    <col min="6145" max="6146" width="21.33203125" style="126" customWidth="1"/>
    <col min="6147" max="6147" width="15.5546875" style="126" customWidth="1"/>
    <col min="6148" max="6148" width="13.88671875" style="126" customWidth="1"/>
    <col min="6149" max="6149" width="14.88671875" style="126" customWidth="1"/>
    <col min="6150" max="6154" width="9.109375" style="126"/>
    <col min="6155" max="6155" width="9.6640625" style="126" bestFit="1" customWidth="1"/>
    <col min="6156" max="6400" width="9.109375" style="126"/>
    <col min="6401" max="6402" width="21.33203125" style="126" customWidth="1"/>
    <col min="6403" max="6403" width="15.5546875" style="126" customWidth="1"/>
    <col min="6404" max="6404" width="13.88671875" style="126" customWidth="1"/>
    <col min="6405" max="6405" width="14.88671875" style="126" customWidth="1"/>
    <col min="6406" max="6410" width="9.109375" style="126"/>
    <col min="6411" max="6411" width="9.6640625" style="126" bestFit="1" customWidth="1"/>
    <col min="6412" max="6656" width="9.109375" style="126"/>
    <col min="6657" max="6658" width="21.33203125" style="126" customWidth="1"/>
    <col min="6659" max="6659" width="15.5546875" style="126" customWidth="1"/>
    <col min="6660" max="6660" width="13.88671875" style="126" customWidth="1"/>
    <col min="6661" max="6661" width="14.88671875" style="126" customWidth="1"/>
    <col min="6662" max="6666" width="9.109375" style="126"/>
    <col min="6667" max="6667" width="9.6640625" style="126" bestFit="1" customWidth="1"/>
    <col min="6668" max="6912" width="9.109375" style="126"/>
    <col min="6913" max="6914" width="21.33203125" style="126" customWidth="1"/>
    <col min="6915" max="6915" width="15.5546875" style="126" customWidth="1"/>
    <col min="6916" max="6916" width="13.88671875" style="126" customWidth="1"/>
    <col min="6917" max="6917" width="14.88671875" style="126" customWidth="1"/>
    <col min="6918" max="6922" width="9.109375" style="126"/>
    <col min="6923" max="6923" width="9.6640625" style="126" bestFit="1" customWidth="1"/>
    <col min="6924" max="7168" width="9.109375" style="126"/>
    <col min="7169" max="7170" width="21.33203125" style="126" customWidth="1"/>
    <col min="7171" max="7171" width="15.5546875" style="126" customWidth="1"/>
    <col min="7172" max="7172" width="13.88671875" style="126" customWidth="1"/>
    <col min="7173" max="7173" width="14.88671875" style="126" customWidth="1"/>
    <col min="7174" max="7178" width="9.109375" style="126"/>
    <col min="7179" max="7179" width="9.6640625" style="126" bestFit="1" customWidth="1"/>
    <col min="7180" max="7424" width="9.109375" style="126"/>
    <col min="7425" max="7426" width="21.33203125" style="126" customWidth="1"/>
    <col min="7427" max="7427" width="15.5546875" style="126" customWidth="1"/>
    <col min="7428" max="7428" width="13.88671875" style="126" customWidth="1"/>
    <col min="7429" max="7429" width="14.88671875" style="126" customWidth="1"/>
    <col min="7430" max="7434" width="9.109375" style="126"/>
    <col min="7435" max="7435" width="9.6640625" style="126" bestFit="1" customWidth="1"/>
    <col min="7436" max="7680" width="9.109375" style="126"/>
    <col min="7681" max="7682" width="21.33203125" style="126" customWidth="1"/>
    <col min="7683" max="7683" width="15.5546875" style="126" customWidth="1"/>
    <col min="7684" max="7684" width="13.88671875" style="126" customWidth="1"/>
    <col min="7685" max="7685" width="14.88671875" style="126" customWidth="1"/>
    <col min="7686" max="7690" width="9.109375" style="126"/>
    <col min="7691" max="7691" width="9.6640625" style="126" bestFit="1" customWidth="1"/>
    <col min="7692" max="7936" width="9.109375" style="126"/>
    <col min="7937" max="7938" width="21.33203125" style="126" customWidth="1"/>
    <col min="7939" max="7939" width="15.5546875" style="126" customWidth="1"/>
    <col min="7940" max="7940" width="13.88671875" style="126" customWidth="1"/>
    <col min="7941" max="7941" width="14.88671875" style="126" customWidth="1"/>
    <col min="7942" max="7946" width="9.109375" style="126"/>
    <col min="7947" max="7947" width="9.6640625" style="126" bestFit="1" customWidth="1"/>
    <col min="7948" max="8192" width="9.109375" style="126"/>
    <col min="8193" max="8194" width="21.33203125" style="126" customWidth="1"/>
    <col min="8195" max="8195" width="15.5546875" style="126" customWidth="1"/>
    <col min="8196" max="8196" width="13.88671875" style="126" customWidth="1"/>
    <col min="8197" max="8197" width="14.88671875" style="126" customWidth="1"/>
    <col min="8198" max="8202" width="9.109375" style="126"/>
    <col min="8203" max="8203" width="9.6640625" style="126" bestFit="1" customWidth="1"/>
    <col min="8204" max="8448" width="9.109375" style="126"/>
    <col min="8449" max="8450" width="21.33203125" style="126" customWidth="1"/>
    <col min="8451" max="8451" width="15.5546875" style="126" customWidth="1"/>
    <col min="8452" max="8452" width="13.88671875" style="126" customWidth="1"/>
    <col min="8453" max="8453" width="14.88671875" style="126" customWidth="1"/>
    <col min="8454" max="8458" width="9.109375" style="126"/>
    <col min="8459" max="8459" width="9.6640625" style="126" bestFit="1" customWidth="1"/>
    <col min="8460" max="8704" width="9.109375" style="126"/>
    <col min="8705" max="8706" width="21.33203125" style="126" customWidth="1"/>
    <col min="8707" max="8707" width="15.5546875" style="126" customWidth="1"/>
    <col min="8708" max="8708" width="13.88671875" style="126" customWidth="1"/>
    <col min="8709" max="8709" width="14.88671875" style="126" customWidth="1"/>
    <col min="8710" max="8714" width="9.109375" style="126"/>
    <col min="8715" max="8715" width="9.6640625" style="126" bestFit="1" customWidth="1"/>
    <col min="8716" max="8960" width="9.109375" style="126"/>
    <col min="8961" max="8962" width="21.33203125" style="126" customWidth="1"/>
    <col min="8963" max="8963" width="15.5546875" style="126" customWidth="1"/>
    <col min="8964" max="8964" width="13.88671875" style="126" customWidth="1"/>
    <col min="8965" max="8965" width="14.88671875" style="126" customWidth="1"/>
    <col min="8966" max="8970" width="9.109375" style="126"/>
    <col min="8971" max="8971" width="9.6640625" style="126" bestFit="1" customWidth="1"/>
    <col min="8972" max="9216" width="9.109375" style="126"/>
    <col min="9217" max="9218" width="21.33203125" style="126" customWidth="1"/>
    <col min="9219" max="9219" width="15.5546875" style="126" customWidth="1"/>
    <col min="9220" max="9220" width="13.88671875" style="126" customWidth="1"/>
    <col min="9221" max="9221" width="14.88671875" style="126" customWidth="1"/>
    <col min="9222" max="9226" width="9.109375" style="126"/>
    <col min="9227" max="9227" width="9.6640625" style="126" bestFit="1" customWidth="1"/>
    <col min="9228" max="9472" width="9.109375" style="126"/>
    <col min="9473" max="9474" width="21.33203125" style="126" customWidth="1"/>
    <col min="9475" max="9475" width="15.5546875" style="126" customWidth="1"/>
    <col min="9476" max="9476" width="13.88671875" style="126" customWidth="1"/>
    <col min="9477" max="9477" width="14.88671875" style="126" customWidth="1"/>
    <col min="9478" max="9482" width="9.109375" style="126"/>
    <col min="9483" max="9483" width="9.6640625" style="126" bestFit="1" customWidth="1"/>
    <col min="9484" max="9728" width="9.109375" style="126"/>
    <col min="9729" max="9730" width="21.33203125" style="126" customWidth="1"/>
    <col min="9731" max="9731" width="15.5546875" style="126" customWidth="1"/>
    <col min="9732" max="9732" width="13.88671875" style="126" customWidth="1"/>
    <col min="9733" max="9733" width="14.88671875" style="126" customWidth="1"/>
    <col min="9734" max="9738" width="9.109375" style="126"/>
    <col min="9739" max="9739" width="9.6640625" style="126" bestFit="1" customWidth="1"/>
    <col min="9740" max="9984" width="9.109375" style="126"/>
    <col min="9985" max="9986" width="21.33203125" style="126" customWidth="1"/>
    <col min="9987" max="9987" width="15.5546875" style="126" customWidth="1"/>
    <col min="9988" max="9988" width="13.88671875" style="126" customWidth="1"/>
    <col min="9989" max="9989" width="14.88671875" style="126" customWidth="1"/>
    <col min="9990" max="9994" width="9.109375" style="126"/>
    <col min="9995" max="9995" width="9.6640625" style="126" bestFit="1" customWidth="1"/>
    <col min="9996" max="10240" width="9.109375" style="126"/>
    <col min="10241" max="10242" width="21.33203125" style="126" customWidth="1"/>
    <col min="10243" max="10243" width="15.5546875" style="126" customWidth="1"/>
    <col min="10244" max="10244" width="13.88671875" style="126" customWidth="1"/>
    <col min="10245" max="10245" width="14.88671875" style="126" customWidth="1"/>
    <col min="10246" max="10250" width="9.109375" style="126"/>
    <col min="10251" max="10251" width="9.6640625" style="126" bestFit="1" customWidth="1"/>
    <col min="10252" max="10496" width="9.109375" style="126"/>
    <col min="10497" max="10498" width="21.33203125" style="126" customWidth="1"/>
    <col min="10499" max="10499" width="15.5546875" style="126" customWidth="1"/>
    <col min="10500" max="10500" width="13.88671875" style="126" customWidth="1"/>
    <col min="10501" max="10501" width="14.88671875" style="126" customWidth="1"/>
    <col min="10502" max="10506" width="9.109375" style="126"/>
    <col min="10507" max="10507" width="9.6640625" style="126" bestFit="1" customWidth="1"/>
    <col min="10508" max="10752" width="9.109375" style="126"/>
    <col min="10753" max="10754" width="21.33203125" style="126" customWidth="1"/>
    <col min="10755" max="10755" width="15.5546875" style="126" customWidth="1"/>
    <col min="10756" max="10756" width="13.88671875" style="126" customWidth="1"/>
    <col min="10757" max="10757" width="14.88671875" style="126" customWidth="1"/>
    <col min="10758" max="10762" width="9.109375" style="126"/>
    <col min="10763" max="10763" width="9.6640625" style="126" bestFit="1" customWidth="1"/>
    <col min="10764" max="11008" width="9.109375" style="126"/>
    <col min="11009" max="11010" width="21.33203125" style="126" customWidth="1"/>
    <col min="11011" max="11011" width="15.5546875" style="126" customWidth="1"/>
    <col min="11012" max="11012" width="13.88671875" style="126" customWidth="1"/>
    <col min="11013" max="11013" width="14.88671875" style="126" customWidth="1"/>
    <col min="11014" max="11018" width="9.109375" style="126"/>
    <col min="11019" max="11019" width="9.6640625" style="126" bestFit="1" customWidth="1"/>
    <col min="11020" max="11264" width="9.109375" style="126"/>
    <col min="11265" max="11266" width="21.33203125" style="126" customWidth="1"/>
    <col min="11267" max="11267" width="15.5546875" style="126" customWidth="1"/>
    <col min="11268" max="11268" width="13.88671875" style="126" customWidth="1"/>
    <col min="11269" max="11269" width="14.88671875" style="126" customWidth="1"/>
    <col min="11270" max="11274" width="9.109375" style="126"/>
    <col min="11275" max="11275" width="9.6640625" style="126" bestFit="1" customWidth="1"/>
    <col min="11276" max="11520" width="9.109375" style="126"/>
    <col min="11521" max="11522" width="21.33203125" style="126" customWidth="1"/>
    <col min="11523" max="11523" width="15.5546875" style="126" customWidth="1"/>
    <col min="11524" max="11524" width="13.88671875" style="126" customWidth="1"/>
    <col min="11525" max="11525" width="14.88671875" style="126" customWidth="1"/>
    <col min="11526" max="11530" width="9.109375" style="126"/>
    <col min="11531" max="11531" width="9.6640625" style="126" bestFit="1" customWidth="1"/>
    <col min="11532" max="11776" width="9.109375" style="126"/>
    <col min="11777" max="11778" width="21.33203125" style="126" customWidth="1"/>
    <col min="11779" max="11779" width="15.5546875" style="126" customWidth="1"/>
    <col min="11780" max="11780" width="13.88671875" style="126" customWidth="1"/>
    <col min="11781" max="11781" width="14.88671875" style="126" customWidth="1"/>
    <col min="11782" max="11786" width="9.109375" style="126"/>
    <col min="11787" max="11787" width="9.6640625" style="126" bestFit="1" customWidth="1"/>
    <col min="11788" max="12032" width="9.109375" style="126"/>
    <col min="12033" max="12034" width="21.33203125" style="126" customWidth="1"/>
    <col min="12035" max="12035" width="15.5546875" style="126" customWidth="1"/>
    <col min="12036" max="12036" width="13.88671875" style="126" customWidth="1"/>
    <col min="12037" max="12037" width="14.88671875" style="126" customWidth="1"/>
    <col min="12038" max="12042" width="9.109375" style="126"/>
    <col min="12043" max="12043" width="9.6640625" style="126" bestFit="1" customWidth="1"/>
    <col min="12044" max="12288" width="9.109375" style="126"/>
    <col min="12289" max="12290" width="21.33203125" style="126" customWidth="1"/>
    <col min="12291" max="12291" width="15.5546875" style="126" customWidth="1"/>
    <col min="12292" max="12292" width="13.88671875" style="126" customWidth="1"/>
    <col min="12293" max="12293" width="14.88671875" style="126" customWidth="1"/>
    <col min="12294" max="12298" width="9.109375" style="126"/>
    <col min="12299" max="12299" width="9.6640625" style="126" bestFit="1" customWidth="1"/>
    <col min="12300" max="12544" width="9.109375" style="126"/>
    <col min="12545" max="12546" width="21.33203125" style="126" customWidth="1"/>
    <col min="12547" max="12547" width="15.5546875" style="126" customWidth="1"/>
    <col min="12548" max="12548" width="13.88671875" style="126" customWidth="1"/>
    <col min="12549" max="12549" width="14.88671875" style="126" customWidth="1"/>
    <col min="12550" max="12554" width="9.109375" style="126"/>
    <col min="12555" max="12555" width="9.6640625" style="126" bestFit="1" customWidth="1"/>
    <col min="12556" max="12800" width="9.109375" style="126"/>
    <col min="12801" max="12802" width="21.33203125" style="126" customWidth="1"/>
    <col min="12803" max="12803" width="15.5546875" style="126" customWidth="1"/>
    <col min="12804" max="12804" width="13.88671875" style="126" customWidth="1"/>
    <col min="12805" max="12805" width="14.88671875" style="126" customWidth="1"/>
    <col min="12806" max="12810" width="9.109375" style="126"/>
    <col min="12811" max="12811" width="9.6640625" style="126" bestFit="1" customWidth="1"/>
    <col min="12812" max="13056" width="9.109375" style="126"/>
    <col min="13057" max="13058" width="21.33203125" style="126" customWidth="1"/>
    <col min="13059" max="13059" width="15.5546875" style="126" customWidth="1"/>
    <col min="13060" max="13060" width="13.88671875" style="126" customWidth="1"/>
    <col min="13061" max="13061" width="14.88671875" style="126" customWidth="1"/>
    <col min="13062" max="13066" width="9.109375" style="126"/>
    <col min="13067" max="13067" width="9.6640625" style="126" bestFit="1" customWidth="1"/>
    <col min="13068" max="13312" width="9.109375" style="126"/>
    <col min="13313" max="13314" width="21.33203125" style="126" customWidth="1"/>
    <col min="13315" max="13315" width="15.5546875" style="126" customWidth="1"/>
    <col min="13316" max="13316" width="13.88671875" style="126" customWidth="1"/>
    <col min="13317" max="13317" width="14.88671875" style="126" customWidth="1"/>
    <col min="13318" max="13322" width="9.109375" style="126"/>
    <col min="13323" max="13323" width="9.6640625" style="126" bestFit="1" customWidth="1"/>
    <col min="13324" max="13568" width="9.109375" style="126"/>
    <col min="13569" max="13570" width="21.33203125" style="126" customWidth="1"/>
    <col min="13571" max="13571" width="15.5546875" style="126" customWidth="1"/>
    <col min="13572" max="13572" width="13.88671875" style="126" customWidth="1"/>
    <col min="13573" max="13573" width="14.88671875" style="126" customWidth="1"/>
    <col min="13574" max="13578" width="9.109375" style="126"/>
    <col min="13579" max="13579" width="9.6640625" style="126" bestFit="1" customWidth="1"/>
    <col min="13580" max="13824" width="9.109375" style="126"/>
    <col min="13825" max="13826" width="21.33203125" style="126" customWidth="1"/>
    <col min="13827" max="13827" width="15.5546875" style="126" customWidth="1"/>
    <col min="13828" max="13828" width="13.88671875" style="126" customWidth="1"/>
    <col min="13829" max="13829" width="14.88671875" style="126" customWidth="1"/>
    <col min="13830" max="13834" width="9.109375" style="126"/>
    <col min="13835" max="13835" width="9.6640625" style="126" bestFit="1" customWidth="1"/>
    <col min="13836" max="14080" width="9.109375" style="126"/>
    <col min="14081" max="14082" width="21.33203125" style="126" customWidth="1"/>
    <col min="14083" max="14083" width="15.5546875" style="126" customWidth="1"/>
    <col min="14084" max="14084" width="13.88671875" style="126" customWidth="1"/>
    <col min="14085" max="14085" width="14.88671875" style="126" customWidth="1"/>
    <col min="14086" max="14090" width="9.109375" style="126"/>
    <col min="14091" max="14091" width="9.6640625" style="126" bestFit="1" customWidth="1"/>
    <col min="14092" max="14336" width="9.109375" style="126"/>
    <col min="14337" max="14338" width="21.33203125" style="126" customWidth="1"/>
    <col min="14339" max="14339" width="15.5546875" style="126" customWidth="1"/>
    <col min="14340" max="14340" width="13.88671875" style="126" customWidth="1"/>
    <col min="14341" max="14341" width="14.88671875" style="126" customWidth="1"/>
    <col min="14342" max="14346" width="9.109375" style="126"/>
    <col min="14347" max="14347" width="9.6640625" style="126" bestFit="1" customWidth="1"/>
    <col min="14348" max="14592" width="9.109375" style="126"/>
    <col min="14593" max="14594" width="21.33203125" style="126" customWidth="1"/>
    <col min="14595" max="14595" width="15.5546875" style="126" customWidth="1"/>
    <col min="14596" max="14596" width="13.88671875" style="126" customWidth="1"/>
    <col min="14597" max="14597" width="14.88671875" style="126" customWidth="1"/>
    <col min="14598" max="14602" width="9.109375" style="126"/>
    <col min="14603" max="14603" width="9.6640625" style="126" bestFit="1" customWidth="1"/>
    <col min="14604" max="14848" width="9.109375" style="126"/>
    <col min="14849" max="14850" width="21.33203125" style="126" customWidth="1"/>
    <col min="14851" max="14851" width="15.5546875" style="126" customWidth="1"/>
    <col min="14852" max="14852" width="13.88671875" style="126" customWidth="1"/>
    <col min="14853" max="14853" width="14.88671875" style="126" customWidth="1"/>
    <col min="14854" max="14858" width="9.109375" style="126"/>
    <col min="14859" max="14859" width="9.6640625" style="126" bestFit="1" customWidth="1"/>
    <col min="14860" max="15104" width="9.109375" style="126"/>
    <col min="15105" max="15106" width="21.33203125" style="126" customWidth="1"/>
    <col min="15107" max="15107" width="15.5546875" style="126" customWidth="1"/>
    <col min="15108" max="15108" width="13.88671875" style="126" customWidth="1"/>
    <col min="15109" max="15109" width="14.88671875" style="126" customWidth="1"/>
    <col min="15110" max="15114" width="9.109375" style="126"/>
    <col min="15115" max="15115" width="9.6640625" style="126" bestFit="1" customWidth="1"/>
    <col min="15116" max="15360" width="9.109375" style="126"/>
    <col min="15361" max="15362" width="21.33203125" style="126" customWidth="1"/>
    <col min="15363" max="15363" width="15.5546875" style="126" customWidth="1"/>
    <col min="15364" max="15364" width="13.88671875" style="126" customWidth="1"/>
    <col min="15365" max="15365" width="14.88671875" style="126" customWidth="1"/>
    <col min="15366" max="15370" width="9.109375" style="126"/>
    <col min="15371" max="15371" width="9.6640625" style="126" bestFit="1" customWidth="1"/>
    <col min="15372" max="15616" width="9.109375" style="126"/>
    <col min="15617" max="15618" width="21.33203125" style="126" customWidth="1"/>
    <col min="15619" max="15619" width="15.5546875" style="126" customWidth="1"/>
    <col min="15620" max="15620" width="13.88671875" style="126" customWidth="1"/>
    <col min="15621" max="15621" width="14.88671875" style="126" customWidth="1"/>
    <col min="15622" max="15626" width="9.109375" style="126"/>
    <col min="15627" max="15627" width="9.6640625" style="126" bestFit="1" customWidth="1"/>
    <col min="15628" max="15872" width="9.109375" style="126"/>
    <col min="15873" max="15874" width="21.33203125" style="126" customWidth="1"/>
    <col min="15875" max="15875" width="15.5546875" style="126" customWidth="1"/>
    <col min="15876" max="15876" width="13.88671875" style="126" customWidth="1"/>
    <col min="15877" max="15877" width="14.88671875" style="126" customWidth="1"/>
    <col min="15878" max="15882" width="9.109375" style="126"/>
    <col min="15883" max="15883" width="9.6640625" style="126" bestFit="1" customWidth="1"/>
    <col min="15884" max="16128" width="9.109375" style="126"/>
    <col min="16129" max="16130" width="21.33203125" style="126" customWidth="1"/>
    <col min="16131" max="16131" width="15.5546875" style="126" customWidth="1"/>
    <col min="16132" max="16132" width="13.88671875" style="126" customWidth="1"/>
    <col min="16133" max="16133" width="14.88671875" style="126" customWidth="1"/>
    <col min="16134" max="16138" width="9.109375" style="126"/>
    <col min="16139" max="16139" width="9.6640625" style="126" bestFit="1" customWidth="1"/>
    <col min="16140" max="16384" width="9.109375" style="126"/>
  </cols>
  <sheetData>
    <row r="1" spans="1:12" s="123" customFormat="1"/>
    <row r="2" spans="1:12" s="123" customFormat="1" ht="14.25" customHeight="1"/>
    <row r="3" spans="1:12" s="123" customFormat="1" ht="14.25" customHeight="1"/>
    <row r="4" spans="1:12" s="123" customFormat="1" ht="14.25" customHeight="1"/>
    <row r="5" spans="1:12" s="123" customFormat="1" ht="14.25" customHeight="1">
      <c r="A5" s="590"/>
      <c r="B5" s="590"/>
      <c r="C5" s="590"/>
      <c r="D5" s="590"/>
      <c r="E5" s="590"/>
      <c r="F5" s="124"/>
      <c r="G5" s="124"/>
      <c r="H5" s="124"/>
      <c r="I5" s="124"/>
      <c r="J5" s="124"/>
      <c r="K5" s="124"/>
      <c r="L5" s="124"/>
    </row>
    <row r="6" spans="1:12" s="123" customFormat="1" ht="14.25" customHeight="1">
      <c r="A6" s="590"/>
      <c r="B6" s="590"/>
      <c r="C6" s="590"/>
      <c r="D6" s="590"/>
      <c r="E6" s="590"/>
      <c r="F6" s="124"/>
      <c r="G6" s="124"/>
      <c r="H6" s="124"/>
      <c r="I6" s="124"/>
      <c r="J6" s="124"/>
      <c r="K6" s="124"/>
      <c r="L6" s="124"/>
    </row>
    <row r="7" spans="1:12" s="123" customFormat="1" ht="14.25" customHeight="1">
      <c r="A7" s="468" t="s">
        <v>1107</v>
      </c>
      <c r="B7" s="468"/>
      <c r="C7" s="468"/>
      <c r="D7" s="468"/>
      <c r="E7" s="125"/>
    </row>
    <row r="8" spans="1:12" s="123" customFormat="1">
      <c r="A8" s="584" t="s">
        <v>574</v>
      </c>
      <c r="B8" s="584"/>
      <c r="C8" s="584"/>
      <c r="D8" s="584"/>
      <c r="E8" s="125"/>
    </row>
    <row r="9" spans="1:12" s="123" customFormat="1">
      <c r="A9" s="584" t="s">
        <v>575</v>
      </c>
      <c r="B9" s="584"/>
      <c r="C9" s="584"/>
      <c r="D9" s="584"/>
      <c r="E9" s="125"/>
    </row>
    <row r="10" spans="1:12" s="123" customFormat="1">
      <c r="A10" s="125"/>
    </row>
    <row r="11" spans="1:12" s="346" customFormat="1">
      <c r="A11" s="591" t="s">
        <v>149</v>
      </c>
      <c r="B11" s="591"/>
      <c r="C11" s="592"/>
      <c r="D11" s="592"/>
      <c r="E11" s="592"/>
    </row>
    <row r="12" spans="1:12">
      <c r="A12" s="127"/>
      <c r="B12" s="127"/>
      <c r="C12" s="128"/>
      <c r="D12" s="128"/>
      <c r="E12" s="128"/>
    </row>
    <row r="13" spans="1:12">
      <c r="A13" s="128" t="s">
        <v>150</v>
      </c>
      <c r="B13" s="128"/>
      <c r="C13" s="128"/>
      <c r="D13" s="128"/>
      <c r="E13" s="128"/>
    </row>
    <row r="14" spans="1:12">
      <c r="A14" s="593" t="s">
        <v>151</v>
      </c>
      <c r="B14" s="593"/>
      <c r="C14" s="594"/>
      <c r="D14" s="594"/>
      <c r="E14" s="594"/>
    </row>
    <row r="15" spans="1:12">
      <c r="A15" s="129" t="s">
        <v>152</v>
      </c>
      <c r="B15" s="130"/>
      <c r="C15" s="129"/>
      <c r="D15" s="129"/>
      <c r="E15" s="129"/>
    </row>
    <row r="16" spans="1:12">
      <c r="A16" s="129" t="s">
        <v>153</v>
      </c>
      <c r="B16" s="131" t="str">
        <f>B32</f>
        <v>ADMINISTRAÇÃO CENTRAL</v>
      </c>
      <c r="C16" s="128"/>
      <c r="D16" s="131"/>
      <c r="E16" s="129"/>
    </row>
    <row r="17" spans="1:7">
      <c r="A17" s="129" t="s">
        <v>154</v>
      </c>
      <c r="B17" s="131" t="str">
        <f>B35</f>
        <v>DESPESAS FINANCEIRAS</v>
      </c>
      <c r="C17" s="128"/>
      <c r="D17" s="131"/>
      <c r="E17" s="129"/>
    </row>
    <row r="18" spans="1:7">
      <c r="A18" s="129" t="s">
        <v>155</v>
      </c>
      <c r="B18" s="131" t="str">
        <f>B38</f>
        <v>SEGURO, RISCO E GARANTIA DO EMPREENDIMENTO</v>
      </c>
      <c r="C18" s="128"/>
      <c r="D18" s="131"/>
      <c r="E18" s="129"/>
    </row>
    <row r="19" spans="1:7">
      <c r="A19" s="129" t="s">
        <v>68</v>
      </c>
      <c r="B19" s="131" t="str">
        <f>B43</f>
        <v>LUCRO</v>
      </c>
      <c r="C19" s="128"/>
      <c r="D19" s="131"/>
      <c r="E19" s="129"/>
    </row>
    <row r="20" spans="1:7">
      <c r="A20" s="129" t="s">
        <v>156</v>
      </c>
      <c r="B20" s="131" t="str">
        <f>B46</f>
        <v>TRIBUTOS</v>
      </c>
      <c r="C20" s="128"/>
      <c r="D20" s="131"/>
      <c r="E20" s="129"/>
    </row>
    <row r="21" spans="1:7" hidden="1">
      <c r="A21" s="589" t="s">
        <v>157</v>
      </c>
      <c r="B21" s="589"/>
      <c r="C21" s="589"/>
      <c r="D21" s="589"/>
      <c r="E21" s="589"/>
    </row>
    <row r="22" spans="1:7" hidden="1">
      <c r="A22" s="589" t="s">
        <v>158</v>
      </c>
      <c r="B22" s="589"/>
      <c r="C22" s="132" t="s">
        <v>159</v>
      </c>
      <c r="D22" s="132" t="s">
        <v>160</v>
      </c>
      <c r="E22" s="132" t="s">
        <v>161</v>
      </c>
    </row>
    <row r="23" spans="1:7" hidden="1">
      <c r="A23" s="595" t="s">
        <v>162</v>
      </c>
      <c r="B23" s="595"/>
      <c r="C23" s="133">
        <v>3.8</v>
      </c>
      <c r="D23" s="133">
        <v>4.01</v>
      </c>
      <c r="E23" s="133">
        <v>4.67</v>
      </c>
    </row>
    <row r="24" spans="1:7" hidden="1">
      <c r="A24" s="595" t="s">
        <v>163</v>
      </c>
      <c r="B24" s="595"/>
      <c r="C24" s="133">
        <v>0.32</v>
      </c>
      <c r="D24" s="133">
        <v>0.4</v>
      </c>
      <c r="E24" s="133">
        <v>0.74</v>
      </c>
    </row>
    <row r="25" spans="1:7" hidden="1">
      <c r="A25" s="595" t="s">
        <v>164</v>
      </c>
      <c r="B25" s="595"/>
      <c r="C25" s="133">
        <v>0.5</v>
      </c>
      <c r="D25" s="133">
        <v>0.56000000000000005</v>
      </c>
      <c r="E25" s="133">
        <v>0.97</v>
      </c>
    </row>
    <row r="26" spans="1:7" hidden="1">
      <c r="A26" s="595" t="s">
        <v>165</v>
      </c>
      <c r="B26" s="595"/>
      <c r="C26" s="133">
        <v>1.02</v>
      </c>
      <c r="D26" s="133">
        <v>1.1100000000000001</v>
      </c>
      <c r="E26" s="133">
        <v>1.21</v>
      </c>
    </row>
    <row r="27" spans="1:7" hidden="1">
      <c r="A27" s="595" t="s">
        <v>166</v>
      </c>
      <c r="B27" s="595"/>
      <c r="C27" s="133">
        <v>6.64</v>
      </c>
      <c r="D27" s="133">
        <v>7.3</v>
      </c>
      <c r="E27" s="133">
        <v>8.69</v>
      </c>
    </row>
    <row r="28" spans="1:7" hidden="1">
      <c r="A28" s="595" t="s">
        <v>167</v>
      </c>
      <c r="B28" s="595"/>
      <c r="C28" s="597" t="s">
        <v>168</v>
      </c>
      <c r="D28" s="598"/>
      <c r="E28" s="599"/>
    </row>
    <row r="29" spans="1:7">
      <c r="A29" s="134"/>
      <c r="B29" s="134"/>
      <c r="C29" s="134"/>
      <c r="D29" s="134"/>
      <c r="E29" s="134"/>
    </row>
    <row r="30" spans="1:7" s="346" customFormat="1">
      <c r="A30" s="347" t="s">
        <v>3</v>
      </c>
      <c r="B30" s="600" t="s">
        <v>169</v>
      </c>
      <c r="C30" s="601"/>
      <c r="D30" s="602"/>
      <c r="E30" s="347" t="s">
        <v>170</v>
      </c>
    </row>
    <row r="31" spans="1:7">
      <c r="A31" s="135"/>
      <c r="B31" s="136"/>
      <c r="C31" s="136"/>
      <c r="D31" s="136"/>
      <c r="E31" s="137"/>
    </row>
    <row r="32" spans="1:7" s="346" customFormat="1">
      <c r="A32" s="348" t="s">
        <v>153</v>
      </c>
      <c r="B32" s="603" t="s">
        <v>171</v>
      </c>
      <c r="C32" s="603"/>
      <c r="D32" s="603"/>
      <c r="E32" s="349"/>
      <c r="G32" s="350"/>
    </row>
    <row r="33" spans="1:11">
      <c r="A33" s="139"/>
      <c r="B33" s="604" t="s">
        <v>172</v>
      </c>
      <c r="C33" s="604"/>
      <c r="D33" s="604"/>
      <c r="E33" s="140">
        <v>4.6699999999999998E-2</v>
      </c>
      <c r="G33" s="138"/>
      <c r="K33" s="141"/>
    </row>
    <row r="34" spans="1:11">
      <c r="A34" s="139"/>
      <c r="B34" s="142"/>
      <c r="C34" s="596" t="s">
        <v>173</v>
      </c>
      <c r="D34" s="596"/>
      <c r="E34" s="143">
        <f>E33</f>
        <v>4.6699999999999998E-2</v>
      </c>
      <c r="G34" s="138"/>
      <c r="K34" s="141"/>
    </row>
    <row r="35" spans="1:11" s="346" customFormat="1">
      <c r="A35" s="348" t="s">
        <v>154</v>
      </c>
      <c r="B35" s="603" t="s">
        <v>174</v>
      </c>
      <c r="C35" s="603"/>
      <c r="D35" s="603"/>
      <c r="E35" s="349"/>
      <c r="G35" s="350"/>
      <c r="K35" s="351"/>
    </row>
    <row r="36" spans="1:11">
      <c r="A36" s="139"/>
      <c r="B36" s="604" t="s">
        <v>165</v>
      </c>
      <c r="C36" s="604"/>
      <c r="D36" s="604"/>
      <c r="E36" s="140">
        <v>1.21E-2</v>
      </c>
      <c r="K36" s="141"/>
    </row>
    <row r="37" spans="1:11">
      <c r="A37" s="139"/>
      <c r="B37" s="142"/>
      <c r="C37" s="596" t="s">
        <v>175</v>
      </c>
      <c r="D37" s="596"/>
      <c r="E37" s="143">
        <f>SUM(E36)</f>
        <v>1.21E-2</v>
      </c>
      <c r="K37" s="141"/>
    </row>
    <row r="38" spans="1:11" s="346" customFormat="1">
      <c r="A38" s="348" t="s">
        <v>176</v>
      </c>
      <c r="B38" s="603" t="s">
        <v>177</v>
      </c>
      <c r="C38" s="603"/>
      <c r="D38" s="603"/>
      <c r="E38" s="349"/>
      <c r="K38" s="351"/>
    </row>
    <row r="39" spans="1:11">
      <c r="A39" s="139"/>
      <c r="B39" s="604" t="s">
        <v>178</v>
      </c>
      <c r="C39" s="604"/>
      <c r="D39" s="604"/>
      <c r="E39" s="144">
        <v>3.3999999999999998E-3</v>
      </c>
      <c r="K39" s="141"/>
    </row>
    <row r="40" spans="1:11">
      <c r="A40" s="139"/>
      <c r="B40" s="145" t="s">
        <v>179</v>
      </c>
      <c r="C40" s="145"/>
      <c r="D40" s="145"/>
      <c r="E40" s="144">
        <v>9.7000000000000003E-3</v>
      </c>
      <c r="K40" s="141"/>
    </row>
    <row r="41" spans="1:11">
      <c r="A41" s="139"/>
      <c r="B41" s="604" t="s">
        <v>180</v>
      </c>
      <c r="C41" s="604"/>
      <c r="D41" s="604"/>
      <c r="E41" s="144">
        <v>4.0000000000000001E-3</v>
      </c>
      <c r="K41" s="141"/>
    </row>
    <row r="42" spans="1:11">
      <c r="A42" s="139"/>
      <c r="B42" s="142"/>
      <c r="C42" s="596" t="s">
        <v>181</v>
      </c>
      <c r="D42" s="596"/>
      <c r="E42" s="143">
        <f>SUM(E39:E41)</f>
        <v>1.7100000000000001E-2</v>
      </c>
      <c r="K42" s="141"/>
    </row>
    <row r="43" spans="1:11" s="346" customFormat="1">
      <c r="A43" s="348" t="s">
        <v>68</v>
      </c>
      <c r="B43" s="603" t="s">
        <v>182</v>
      </c>
      <c r="C43" s="603"/>
      <c r="D43" s="603"/>
      <c r="E43" s="349"/>
      <c r="K43" s="351"/>
    </row>
    <row r="44" spans="1:11">
      <c r="A44" s="139"/>
      <c r="B44" s="604" t="s">
        <v>183</v>
      </c>
      <c r="C44" s="604"/>
      <c r="D44" s="604"/>
      <c r="E44" s="140">
        <v>7.7100000000000002E-2</v>
      </c>
      <c r="K44" s="141"/>
    </row>
    <row r="45" spans="1:11">
      <c r="A45" s="139"/>
      <c r="B45" s="142"/>
      <c r="C45" s="596" t="s">
        <v>184</v>
      </c>
      <c r="D45" s="596"/>
      <c r="E45" s="143">
        <f>SUM(E44)</f>
        <v>7.7100000000000002E-2</v>
      </c>
      <c r="K45" s="141"/>
    </row>
    <row r="46" spans="1:11" s="346" customFormat="1">
      <c r="A46" s="348" t="s">
        <v>156</v>
      </c>
      <c r="B46" s="603" t="s">
        <v>185</v>
      </c>
      <c r="C46" s="603"/>
      <c r="D46" s="603"/>
      <c r="E46" s="349"/>
      <c r="K46" s="351"/>
    </row>
    <row r="47" spans="1:11">
      <c r="A47" s="139"/>
      <c r="B47" s="604" t="s">
        <v>186</v>
      </c>
      <c r="C47" s="604"/>
      <c r="D47" s="604"/>
      <c r="E47" s="144">
        <v>6.4999999999999997E-3</v>
      </c>
      <c r="K47" s="141"/>
    </row>
    <row r="48" spans="1:11">
      <c r="A48" s="139"/>
      <c r="B48" s="604" t="s">
        <v>187</v>
      </c>
      <c r="C48" s="604"/>
      <c r="D48" s="604"/>
      <c r="E48" s="144">
        <v>0.03</v>
      </c>
      <c r="K48" s="141"/>
    </row>
    <row r="49" spans="1:11">
      <c r="A49" s="139"/>
      <c r="B49" s="604" t="s">
        <v>188</v>
      </c>
      <c r="C49" s="604"/>
      <c r="D49" s="604"/>
      <c r="E49" s="144">
        <f>60%*5%</f>
        <v>0.03</v>
      </c>
      <c r="K49" s="141"/>
    </row>
    <row r="50" spans="1:11">
      <c r="A50" s="139"/>
      <c r="B50" s="145" t="s">
        <v>189</v>
      </c>
      <c r="C50" s="145"/>
      <c r="D50" s="145"/>
      <c r="E50" s="144">
        <v>0</v>
      </c>
      <c r="K50" s="141"/>
    </row>
    <row r="51" spans="1:11">
      <c r="A51" s="139"/>
      <c r="B51" s="142"/>
      <c r="C51" s="596" t="s">
        <v>190</v>
      </c>
      <c r="D51" s="596"/>
      <c r="E51" s="143">
        <f>SUM(E47:E50)</f>
        <v>6.6500000000000004E-2</v>
      </c>
      <c r="K51" s="141"/>
    </row>
    <row r="52" spans="1:11">
      <c r="A52" s="139"/>
      <c r="B52" s="142"/>
      <c r="C52" s="146"/>
      <c r="D52" s="146"/>
      <c r="E52" s="147"/>
    </row>
    <row r="53" spans="1:11" s="346" customFormat="1">
      <c r="A53" s="605" t="s">
        <v>191</v>
      </c>
      <c r="B53" s="606"/>
      <c r="C53" s="606"/>
      <c r="D53" s="606"/>
      <c r="E53" s="352">
        <f>(((1+E34+E39+E40+E41)*(1+E37)*(1+E45))/(1-E51))-1</f>
        <v>0.24229607890519533</v>
      </c>
      <c r="K53" s="351"/>
    </row>
    <row r="54" spans="1:11">
      <c r="A54" s="148"/>
      <c r="B54" s="149"/>
      <c r="C54" s="149"/>
      <c r="D54" s="149"/>
      <c r="E54" s="149"/>
    </row>
    <row r="55" spans="1:11">
      <c r="A55" s="150"/>
      <c r="B55" s="149"/>
      <c r="C55" s="149"/>
      <c r="D55" s="149"/>
      <c r="E55" s="149"/>
    </row>
    <row r="56" spans="1:11">
      <c r="A56" s="150"/>
      <c r="B56" s="149"/>
      <c r="C56" s="149"/>
      <c r="D56" s="149"/>
      <c r="E56" s="149"/>
    </row>
    <row r="61" spans="1:11">
      <c r="B61" s="126" t="s">
        <v>879</v>
      </c>
      <c r="F61" s="126">
        <f>0.06756</f>
        <v>6.7559999999999995E-2</v>
      </c>
      <c r="G61" s="126">
        <v>5500</v>
      </c>
    </row>
    <row r="69" spans="2:7">
      <c r="B69" s="126" t="s">
        <v>879</v>
      </c>
      <c r="F69" s="126">
        <f>0.06756*2</f>
        <v>0.13511999999999999</v>
      </c>
      <c r="G69" s="126">
        <v>5500</v>
      </c>
    </row>
    <row r="98" spans="2:9">
      <c r="B98" s="126" t="s">
        <v>879</v>
      </c>
      <c r="G98" s="126">
        <v>5500</v>
      </c>
      <c r="I98" s="126">
        <f>1000*5.5</f>
        <v>5500</v>
      </c>
    </row>
  </sheetData>
  <mergeCells count="35">
    <mergeCell ref="B49:D49"/>
    <mergeCell ref="C51:D51"/>
    <mergeCell ref="A53:D53"/>
    <mergeCell ref="B43:D43"/>
    <mergeCell ref="B44:D44"/>
    <mergeCell ref="C45:D45"/>
    <mergeCell ref="B46:D46"/>
    <mergeCell ref="B47:D47"/>
    <mergeCell ref="B48:D48"/>
    <mergeCell ref="C42:D42"/>
    <mergeCell ref="C28:E28"/>
    <mergeCell ref="B30:D30"/>
    <mergeCell ref="B32:D32"/>
    <mergeCell ref="B33:D33"/>
    <mergeCell ref="C34:D34"/>
    <mergeCell ref="B35:D35"/>
    <mergeCell ref="A28:B28"/>
    <mergeCell ref="B36:D36"/>
    <mergeCell ref="C37:D37"/>
    <mergeCell ref="B38:D38"/>
    <mergeCell ref="B39:D39"/>
    <mergeCell ref="B41:D41"/>
    <mergeCell ref="A23:B23"/>
    <mergeCell ref="A24:B24"/>
    <mergeCell ref="A25:B25"/>
    <mergeCell ref="A26:B26"/>
    <mergeCell ref="A27:B27"/>
    <mergeCell ref="A22:B22"/>
    <mergeCell ref="A5:E5"/>
    <mergeCell ref="A6:E6"/>
    <mergeCell ref="A11:E11"/>
    <mergeCell ref="A14:E14"/>
    <mergeCell ref="A21:E21"/>
    <mergeCell ref="A8:D8"/>
    <mergeCell ref="A9:D9"/>
  </mergeCells>
  <printOptions horizontalCentered="1"/>
  <pageMargins left="0.51181102362204722" right="0.51181102362204722" top="0.78740157480314965" bottom="1.1811023622047245" header="0.31496062992125984" footer="0.70866141732283472"/>
  <pageSetup paperSize="9" scale="90" orientation="portrait" r:id="rId1"/>
  <headerFooter>
    <oddHeader>&amp;C&amp;10 Prefeitura Municipal de Barreirinhas
CNPJ: 06.217.954/0001-37
 Av. Joaquim Soeiro de Carvalho, 533, Barreirinhas/MA, CEP 65590-000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93"/>
  <sheetViews>
    <sheetView showGridLines="0" showOutlineSymbols="0" showWhiteSpace="0" view="pageBreakPreview" zoomScale="90" zoomScaleNormal="100" zoomScaleSheetLayoutView="90" workbookViewId="0">
      <selection activeCell="M11" sqref="M11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11.55468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7.109375" style="110" bestFit="1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439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17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f>J10*2</f>
        <v>0.30480000000000002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556</v>
      </c>
      <c r="Q6" s="219">
        <f>17/4</f>
        <v>4.25</v>
      </c>
      <c r="R6" s="258">
        <v>5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R6-1</f>
        <v>4</v>
      </c>
      <c r="K7" s="222" t="s">
        <v>392</v>
      </c>
      <c r="L7" s="220" t="s">
        <v>540</v>
      </c>
      <c r="M7" s="219">
        <f>3*J7</f>
        <v>12</v>
      </c>
      <c r="N7" s="220" t="s">
        <v>541</v>
      </c>
      <c r="P7" s="298" t="s">
        <v>513</v>
      </c>
      <c r="Q7" s="219">
        <f>17/4</f>
        <v>4.25</v>
      </c>
      <c r="R7" s="258">
        <v>5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514</v>
      </c>
      <c r="Q8" s="219">
        <f>19/4</f>
        <v>4.75</v>
      </c>
      <c r="R8" s="258">
        <v>4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9.7/4</f>
        <v>2.4249999999999998</v>
      </c>
      <c r="R12" s="258">
        <v>2</v>
      </c>
      <c r="S12" s="259" t="s">
        <v>417</v>
      </c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22</v>
      </c>
      <c r="D14" s="230">
        <v>10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10</v>
      </c>
      <c r="O14" s="218" t="s">
        <v>392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>
        <v>10</v>
      </c>
      <c r="E16" s="231">
        <v>4</v>
      </c>
      <c r="F16" s="231">
        <v>3</v>
      </c>
      <c r="G16" s="232">
        <f>E16*F16</f>
        <v>12</v>
      </c>
      <c r="H16" s="232"/>
      <c r="I16" s="232"/>
      <c r="J16" s="232"/>
      <c r="K16" s="232"/>
      <c r="L16" s="232"/>
      <c r="M16" s="232"/>
      <c r="N16" s="233">
        <f>G16*D16</f>
        <v>120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10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45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1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1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/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17</v>
      </c>
      <c r="F24" s="231">
        <f>J4</f>
        <v>3</v>
      </c>
      <c r="G24" s="232">
        <f>ROUND(E24*F24,2)</f>
        <v>51</v>
      </c>
      <c r="H24" s="232">
        <v>0.2</v>
      </c>
      <c r="I24" s="232"/>
      <c r="J24" s="232"/>
      <c r="K24" s="232"/>
      <c r="L24" s="232"/>
      <c r="M24" s="232">
        <f>G24*H24</f>
        <v>10.200000000000001</v>
      </c>
      <c r="N24" s="233">
        <f>M24</f>
        <v>10.200000000000001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f>9.65</f>
        <v>9.65</v>
      </c>
      <c r="H26" s="257" t="s">
        <v>416</v>
      </c>
      <c r="I26" s="244"/>
      <c r="J26" s="244"/>
      <c r="K26" s="244"/>
      <c r="L26" s="244"/>
      <c r="M26" s="232"/>
      <c r="N26" s="233">
        <f>ROUND(G26*D26,2)</f>
        <v>19.3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19.3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10.200000000000001</v>
      </c>
      <c r="N28" s="233">
        <f>ROUND((G28*H28*K28)+(M28*K28),2)</f>
        <v>15.06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15.06</v>
      </c>
      <c r="N30" s="233">
        <f>ROUND(M30*L30,2)</f>
        <v>150.6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17</v>
      </c>
      <c r="F34" s="231">
        <f>F24</f>
        <v>3</v>
      </c>
      <c r="G34" s="244">
        <f>ROUND(E34*F34,2)</f>
        <v>51</v>
      </c>
      <c r="H34" s="244"/>
      <c r="I34" s="244"/>
      <c r="J34" s="244"/>
      <c r="K34" s="244"/>
      <c r="L34" s="244"/>
      <c r="M34" s="232"/>
      <c r="N34" s="233">
        <f>G34</f>
        <v>51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42.2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8.44</v>
      </c>
      <c r="H38" s="232"/>
      <c r="I38" s="232">
        <f>1+1.5</f>
        <v>2.5</v>
      </c>
      <c r="J38" s="232"/>
      <c r="K38" s="232"/>
      <c r="L38" s="232"/>
      <c r="M38" s="232">
        <f>ROUND(G38*I38*D38,2)</f>
        <v>42.2</v>
      </c>
      <c r="N38" s="248">
        <f>M38</f>
        <v>42.2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3.3</v>
      </c>
      <c r="F39" s="305">
        <f>J5</f>
        <v>0.30480000000000002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42.2</v>
      </c>
      <c r="N41" s="233">
        <f>ROUND(K41*M41*L41,2)</f>
        <v>485.3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6.58</v>
      </c>
      <c r="H43" s="244"/>
      <c r="I43" s="244">
        <f>J9-I38</f>
        <v>3.5</v>
      </c>
      <c r="J43" s="244"/>
      <c r="K43" s="244"/>
      <c r="L43" s="244"/>
      <c r="M43" s="232">
        <f>ROUND(G43*I43*D43,2)</f>
        <v>46.06</v>
      </c>
      <c r="N43" s="233">
        <f>M43</f>
        <v>46.06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46.06</v>
      </c>
      <c r="N45" s="233">
        <f>ROUND(M45*K45*L45,2)</f>
        <v>529.69000000000005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46.06</v>
      </c>
      <c r="N47" s="233">
        <f>M47</f>
        <v>46.06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333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393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2.4900000000000002</v>
      </c>
      <c r="H54" s="232">
        <v>0.1</v>
      </c>
      <c r="I54" s="232"/>
      <c r="J54" s="232"/>
      <c r="K54" s="232"/>
      <c r="L54" s="232"/>
      <c r="M54" s="232">
        <f>ROUND(G54*H54*D54,2)</f>
        <v>0.5</v>
      </c>
      <c r="N54" s="248">
        <f>M54</f>
        <v>0.5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34.86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v>2.4900000000000002</v>
      </c>
      <c r="H61" s="232"/>
      <c r="I61" s="232">
        <v>7</v>
      </c>
      <c r="J61" s="232"/>
      <c r="K61" s="232"/>
      <c r="L61" s="232"/>
      <c r="M61" s="232">
        <f>ROUND(G61*I61*D61,2)</f>
        <v>34.86</v>
      </c>
      <c r="N61" s="248">
        <f>M61</f>
        <v>34.86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</v>
      </c>
      <c r="F65" s="309">
        <f>F39</f>
        <v>0.30480000000000002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144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12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144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42.88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8</v>
      </c>
      <c r="E71" s="231">
        <v>5.36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42.88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324.10000000000002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17</v>
      </c>
      <c r="E75" s="231">
        <f>J3+(0.15+0.15)</f>
        <v>17.3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294.10000000000002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10</v>
      </c>
      <c r="E76" s="231">
        <f>E65</f>
        <v>3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30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71.400000000000006" hidden="1" customHeight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51.9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566</v>
      </c>
      <c r="B82" s="229" t="s">
        <v>375</v>
      </c>
      <c r="C82" s="230" t="s">
        <v>28</v>
      </c>
      <c r="D82" s="230">
        <v>2</v>
      </c>
      <c r="E82" s="231">
        <f>E75</f>
        <v>17.3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34.6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17.3</v>
      </c>
      <c r="F85" s="231">
        <f>E76</f>
        <v>3</v>
      </c>
      <c r="G85" s="244">
        <f>ROUND(E85*F85,2)</f>
        <v>51.9</v>
      </c>
      <c r="H85" s="244"/>
      <c r="I85" s="244"/>
      <c r="J85" s="244"/>
      <c r="K85" s="244"/>
      <c r="L85" s="244"/>
      <c r="M85" s="232"/>
      <c r="N85" s="233">
        <f>G85</f>
        <v>51.9</v>
      </c>
      <c r="O85" s="218" t="s">
        <v>355</v>
      </c>
    </row>
    <row r="86" spans="1:15" s="217" customFormat="1" ht="30" customHeight="1">
      <c r="A86" s="229" t="s">
        <v>606</v>
      </c>
      <c r="B86" s="229" t="s">
        <v>600</v>
      </c>
      <c r="C86" s="230" t="s">
        <v>392</v>
      </c>
      <c r="D86" s="230">
        <v>1</v>
      </c>
      <c r="E86" s="231"/>
      <c r="F86" s="231"/>
      <c r="G86" s="244"/>
      <c r="H86" s="244"/>
      <c r="I86" s="244"/>
      <c r="J86" s="244"/>
      <c r="K86" s="244"/>
      <c r="L86" s="244"/>
      <c r="M86" s="232"/>
      <c r="N86" s="233">
        <f>D86</f>
        <v>1</v>
      </c>
      <c r="O86" s="218" t="s">
        <v>392</v>
      </c>
    </row>
    <row r="87" spans="1:15" s="217" customFormat="1">
      <c r="A87" s="229"/>
      <c r="B87" s="229"/>
      <c r="C87" s="230"/>
      <c r="D87" s="230"/>
      <c r="E87" s="231"/>
      <c r="F87" s="231"/>
      <c r="G87" s="244"/>
      <c r="H87" s="244"/>
      <c r="I87" s="244"/>
      <c r="J87" s="244"/>
      <c r="K87" s="244"/>
      <c r="L87" s="244"/>
      <c r="M87" s="232"/>
      <c r="N87" s="233"/>
      <c r="O87" s="218"/>
    </row>
    <row r="88" spans="1:15">
      <c r="A88" s="212"/>
      <c r="B88" s="212"/>
      <c r="C88" s="212"/>
      <c r="D88" s="212"/>
      <c r="E88" s="212"/>
      <c r="F88" s="212"/>
      <c r="G88" s="212"/>
      <c r="H88" s="212"/>
      <c r="I88" s="212"/>
      <c r="J88" s="212"/>
      <c r="K88" s="212"/>
      <c r="L88" s="212"/>
      <c r="M88" s="212"/>
      <c r="N88" s="212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>
      <c r="A91" s="214"/>
      <c r="B91" s="213"/>
      <c r="C91" s="214"/>
      <c r="D91" s="214"/>
      <c r="E91" s="491"/>
      <c r="F91" s="488"/>
      <c r="G91" s="487"/>
      <c r="H91" s="487"/>
      <c r="I91" s="487"/>
      <c r="J91" s="487"/>
      <c r="K91" s="487"/>
      <c r="L91" s="487"/>
      <c r="M91" s="488"/>
      <c r="N91" s="488"/>
    </row>
    <row r="92" spans="1:15" ht="60" customHeight="1">
      <c r="A92" s="215"/>
      <c r="B92" s="215"/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</row>
    <row r="93" spans="1:15" ht="70.2" customHeight="1">
      <c r="A93" s="489" t="s">
        <v>378</v>
      </c>
      <c r="B93" s="490"/>
      <c r="C93" s="490"/>
      <c r="D93" s="490"/>
      <c r="E93" s="490"/>
      <c r="F93" s="490"/>
      <c r="G93" s="490"/>
      <c r="H93" s="490"/>
      <c r="I93" s="490"/>
      <c r="J93" s="490"/>
      <c r="K93" s="490"/>
      <c r="L93" s="490"/>
      <c r="M93" s="490"/>
      <c r="N93" s="490"/>
    </row>
  </sheetData>
  <mergeCells count="8">
    <mergeCell ref="E91:F91"/>
    <mergeCell ref="G91:N91"/>
    <mergeCell ref="A93:N93"/>
    <mergeCell ref="A1:N1"/>
    <mergeCell ref="E89:F89"/>
    <mergeCell ref="G89:N89"/>
    <mergeCell ref="E90:F90"/>
    <mergeCell ref="G90:N90"/>
  </mergeCells>
  <pageMargins left="0.51181102362204722" right="0.51181102362204722" top="0.98425196850393704" bottom="0.98425196850393704" header="0.51181102362204722" footer="0.51181102362204722"/>
  <pageSetup paperSize="9" scale="47" fitToHeight="0" orientation="portrait" r:id="rId1"/>
  <headerFooter>
    <oddHeader>&amp;L &amp;C &amp;R</oddHeader>
    <oddFooter>&amp;L &amp;C
 &amp;R</oddFooter>
  </headerFooter>
  <ignoredErrors>
    <ignoredError sqref="N51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  <pageSetUpPr fitToPage="1"/>
  </sheetPr>
  <dimension ref="A1:P40"/>
  <sheetViews>
    <sheetView showOutlineSymbols="0" showWhiteSpace="0" view="pageBreakPreview" topLeftCell="A4" zoomScale="90" zoomScaleNormal="100" zoomScaleSheetLayoutView="90" workbookViewId="0">
      <selection activeCell="M11" sqref="M11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6.109375" style="110" bestFit="1" customWidth="1"/>
    <col min="11" max="11" width="14.4414062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834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511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/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/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/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/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1" customHeight="1">
      <c r="A10" s="330">
        <v>2</v>
      </c>
      <c r="B10" s="330"/>
      <c r="C10" s="330"/>
      <c r="D10" s="330" t="s">
        <v>835</v>
      </c>
      <c r="E10" s="330"/>
      <c r="F10" s="335"/>
      <c r="G10" s="332"/>
      <c r="H10" s="332"/>
      <c r="I10" s="333">
        <f>I11+I18+I24+I30+I35</f>
        <v>791268.23</v>
      </c>
      <c r="J10" s="336">
        <v>1333012.52</v>
      </c>
      <c r="K10" s="336">
        <f>J10-I10</f>
        <v>541744.29</v>
      </c>
    </row>
    <row r="11" spans="1:11" s="334" customFormat="1" ht="24" customHeight="1">
      <c r="A11" s="330" t="s">
        <v>26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5257.84</v>
      </c>
    </row>
    <row r="12" spans="1:11" ht="39" customHeight="1">
      <c r="A12" s="237" t="s">
        <v>444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Santa Rosa'!N24</f>
        <v>13.600000000000001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1853.54</v>
      </c>
    </row>
    <row r="13" spans="1:11" ht="25.95" customHeight="1">
      <c r="A13" s="237" t="s">
        <v>445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Santa Rosa'!N26</f>
        <v>31.52</v>
      </c>
      <c r="G13" s="271">
        <v>2.66</v>
      </c>
      <c r="H13" s="271">
        <f t="shared" si="0"/>
        <v>3.3</v>
      </c>
      <c r="I13" s="271">
        <f t="shared" si="1"/>
        <v>104.02</v>
      </c>
    </row>
    <row r="14" spans="1:11" ht="52.2" customHeight="1">
      <c r="A14" s="237" t="s">
        <v>446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Santa Rosa'!N28</f>
        <v>21.08</v>
      </c>
      <c r="G14" s="271">
        <v>8.5299999999999994</v>
      </c>
      <c r="H14" s="271">
        <f t="shared" si="0"/>
        <v>10.6</v>
      </c>
      <c r="I14" s="271">
        <f t="shared" si="1"/>
        <v>223.45</v>
      </c>
    </row>
    <row r="15" spans="1:11" ht="39" customHeight="1">
      <c r="A15" s="237" t="s">
        <v>447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Santa Rosa'!N30</f>
        <v>210.8</v>
      </c>
      <c r="G15" s="271">
        <v>2.93</v>
      </c>
      <c r="H15" s="271">
        <f t="shared" si="0"/>
        <v>3.64</v>
      </c>
      <c r="I15" s="271">
        <f t="shared" si="1"/>
        <v>767.31</v>
      </c>
    </row>
    <row r="16" spans="1:11" ht="25.95" customHeight="1">
      <c r="A16" s="237" t="s">
        <v>448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Santa Rosa'!N32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6.4">
      <c r="A17" s="237" t="s">
        <v>449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Santa Rosa'!N34</f>
        <v>68</v>
      </c>
      <c r="G17" s="271">
        <f>CPUs!H37</f>
        <v>26.78</v>
      </c>
      <c r="H17" s="271">
        <f t="shared" si="0"/>
        <v>33.270000000000003</v>
      </c>
      <c r="I17" s="271">
        <f t="shared" si="1"/>
        <v>2262.36</v>
      </c>
    </row>
    <row r="18" spans="1:16" s="334" customFormat="1" ht="24" customHeight="1">
      <c r="A18" s="330" t="s">
        <v>274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13976.970000000001</v>
      </c>
    </row>
    <row r="19" spans="1:16" ht="52.2" customHeight="1">
      <c r="A19" s="237" t="s">
        <v>450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Santa Rosa'!N37</f>
        <v>55.35</v>
      </c>
      <c r="G19" s="271">
        <v>14.96</v>
      </c>
      <c r="H19" s="271">
        <f t="shared" si="0"/>
        <v>18.579999999999998</v>
      </c>
      <c r="I19" s="271">
        <f>ROUND(H19*F19,2)</f>
        <v>1028.4000000000001</v>
      </c>
    </row>
    <row r="20" spans="1:16" ht="39" customHeight="1">
      <c r="A20" s="237" t="s">
        <v>451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Santa Rosa'!N41</f>
        <v>636.53</v>
      </c>
      <c r="G20" s="271">
        <v>2.93</v>
      </c>
      <c r="H20" s="271">
        <f t="shared" si="0"/>
        <v>3.64</v>
      </c>
      <c r="I20" s="271">
        <f>ROUND(H20*F20,2)</f>
        <v>2316.9699999999998</v>
      </c>
    </row>
    <row r="21" spans="1:16" ht="26.4">
      <c r="A21" s="237" t="s">
        <v>452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Santa Rosa'!N43</f>
        <v>59.92</v>
      </c>
      <c r="G21" s="271">
        <v>82.09</v>
      </c>
      <c r="H21" s="271">
        <f t="shared" si="0"/>
        <v>101.98</v>
      </c>
      <c r="I21" s="271">
        <f>ROUND(H21*F21,2)</f>
        <v>6110.64</v>
      </c>
    </row>
    <row r="22" spans="1:16" ht="39" customHeight="1">
      <c r="A22" s="237" t="s">
        <v>453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Santa Rosa'!N45</f>
        <v>689.08</v>
      </c>
      <c r="G22" s="271">
        <v>2.93</v>
      </c>
      <c r="H22" s="271">
        <f t="shared" si="0"/>
        <v>3.64</v>
      </c>
      <c r="I22" s="271">
        <f>ROUND(H22*F22,2)</f>
        <v>2508.25</v>
      </c>
    </row>
    <row r="23" spans="1:16" ht="26.4">
      <c r="A23" s="237" t="s">
        <v>454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Santa Rosa'!N47</f>
        <v>59.92</v>
      </c>
      <c r="G23" s="271">
        <v>27.04</v>
      </c>
      <c r="H23" s="271">
        <f t="shared" si="0"/>
        <v>33.590000000000003</v>
      </c>
      <c r="I23" s="271">
        <f>ROUND(H23*F23,2)</f>
        <v>2012.71</v>
      </c>
    </row>
    <row r="24" spans="1:16" s="334" customFormat="1" ht="31.2" customHeight="1">
      <c r="A24" s="330" t="s">
        <v>278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417103.85</v>
      </c>
    </row>
    <row r="25" spans="1:16" ht="39" customHeight="1">
      <c r="A25" s="237" t="s">
        <v>455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Santa Rosa'!N50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542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Santa Rosa'!N53</f>
        <v>0.67</v>
      </c>
      <c r="G26" s="271">
        <v>581.69000000000005</v>
      </c>
      <c r="H26" s="271">
        <f t="shared" si="2"/>
        <v>722.63</v>
      </c>
      <c r="I26" s="271">
        <f>ROUND(H26*F26,2)</f>
        <v>484.16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546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Santa Rosa'!N60</f>
        <v>47.18</v>
      </c>
      <c r="G27" s="271">
        <v>3843.08</v>
      </c>
      <c r="H27" s="271">
        <f t="shared" si="0"/>
        <v>4774.26</v>
      </c>
      <c r="I27" s="271">
        <f>ROUND(H27*F27,2)</f>
        <v>225249.59</v>
      </c>
    </row>
    <row r="28" spans="1:16" ht="39" customHeight="1">
      <c r="A28" s="237" t="s">
        <v>580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Santa Rosa'!N67</f>
        <v>144</v>
      </c>
      <c r="G28" s="271">
        <f>CPUs!H66</f>
        <v>780.37999999999988</v>
      </c>
      <c r="H28" s="271">
        <f t="shared" si="0"/>
        <v>969.47</v>
      </c>
      <c r="I28" s="271">
        <f>ROUND(H28*F28,2)</f>
        <v>139603.68</v>
      </c>
    </row>
    <row r="29" spans="1:16" ht="24" customHeight="1">
      <c r="A29" s="237" t="s">
        <v>581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Santa Rosa'!N70</f>
        <v>46.8</v>
      </c>
      <c r="G29" s="271">
        <f>CPUs!H74</f>
        <v>890.38</v>
      </c>
      <c r="H29" s="271">
        <f t="shared" si="0"/>
        <v>1106.1199999999999</v>
      </c>
      <c r="I29" s="271">
        <f>ROUND(H29*F29,2)</f>
        <v>51766.42</v>
      </c>
    </row>
    <row r="30" spans="1:16" s="334" customFormat="1" ht="24" customHeight="1">
      <c r="A30" s="330" t="s">
        <v>293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354463.08999999997</v>
      </c>
    </row>
    <row r="31" spans="1:16" ht="28.95" customHeight="1">
      <c r="A31" s="237" t="s">
        <v>456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Santa Rosa'!N74</f>
        <v>437.9</v>
      </c>
      <c r="G31" s="271">
        <f>CPUs!H90</f>
        <v>537.33000000000004</v>
      </c>
      <c r="H31" s="271">
        <f t="shared" si="0"/>
        <v>667.53</v>
      </c>
      <c r="I31" s="271">
        <f>ROUND(H31*F31,2)</f>
        <v>292311.39</v>
      </c>
    </row>
    <row r="32" spans="1:16" ht="40.950000000000003" customHeight="1">
      <c r="A32" s="237" t="s">
        <v>457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Santa Rosa'!N78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73.95" hidden="1" customHeight="1">
      <c r="A33" s="237" t="s">
        <v>458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Santa Rosa'!N80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605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Santa Rosa'!N82</f>
        <v>34.6</v>
      </c>
      <c r="G34" s="271">
        <f>CPUs!H124</f>
        <v>1256.7800000000002</v>
      </c>
      <c r="H34" s="271">
        <f t="shared" si="0"/>
        <v>1561.3</v>
      </c>
      <c r="I34" s="271">
        <f>ROUND(H34*F34,2)</f>
        <v>54020.98</v>
      </c>
    </row>
    <row r="35" spans="1:10" s="334" customFormat="1" ht="18.600000000000001" customHeight="1">
      <c r="A35" s="330" t="s">
        <v>459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466.47999999999996</v>
      </c>
    </row>
    <row r="36" spans="1:10" ht="18.600000000000001" customHeight="1">
      <c r="A36" s="237" t="s">
        <v>460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Santa Rosa'!N85</f>
        <v>69.2</v>
      </c>
      <c r="G36" s="271">
        <v>1.71</v>
      </c>
      <c r="H36" s="271">
        <f t="shared" ref="H36" si="3">ROUND(G36*(100%+$G$2),2)</f>
        <v>2.12</v>
      </c>
      <c r="I36" s="271">
        <f>ROUND(H36*F36,2)</f>
        <v>146.69999999999999</v>
      </c>
    </row>
    <row r="37" spans="1:10" ht="18.600000000000001" customHeight="1">
      <c r="A37" s="237" t="s">
        <v>598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791268.22999999986</v>
      </c>
      <c r="J39" s="324"/>
    </row>
    <row r="40" spans="1:10" ht="70.2" customHeight="1">
      <c r="A40" s="489"/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A38:C38"/>
    <mergeCell ref="F38:G38"/>
    <mergeCell ref="H38:I38"/>
    <mergeCell ref="E1:F1"/>
    <mergeCell ref="G1:H1"/>
    <mergeCell ref="E2:F2"/>
    <mergeCell ref="G2:H2"/>
    <mergeCell ref="A3:I3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ignoredErrors>
    <ignoredError sqref="I30 I35 I18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59999389629810485"/>
    <pageSetUpPr fitToPage="1"/>
  </sheetPr>
  <dimension ref="A1:X92"/>
  <sheetViews>
    <sheetView showGridLines="0" showOutlineSymbols="0" showWhiteSpace="0" view="pageBreakPreview" zoomScale="90" zoomScaleNormal="100" zoomScaleSheetLayoutView="90" workbookViewId="0">
      <selection activeCell="M11" sqref="M11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7.109375" style="110" bestFit="1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512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17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4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556</v>
      </c>
      <c r="Q6" s="219">
        <f>17/4</f>
        <v>4.25</v>
      </c>
      <c r="R6" s="258">
        <v>5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R7-1</f>
        <v>4</v>
      </c>
      <c r="K7" s="222" t="s">
        <v>392</v>
      </c>
      <c r="L7" s="220" t="s">
        <v>540</v>
      </c>
      <c r="M7" s="219">
        <f>3*J7</f>
        <v>12</v>
      </c>
      <c r="N7" s="220" t="s">
        <v>541</v>
      </c>
      <c r="P7" s="298" t="s">
        <v>513</v>
      </c>
      <c r="Q7" s="219">
        <f>17/4</f>
        <v>4.25</v>
      </c>
      <c r="R7" s="258">
        <v>5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514</v>
      </c>
      <c r="Q8" s="219">
        <f>19/4</f>
        <v>4.75</v>
      </c>
      <c r="R8" s="258">
        <v>5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9.7/4</f>
        <v>2.4249999999999998</v>
      </c>
      <c r="R12" s="258">
        <v>2</v>
      </c>
      <c r="S12" s="259" t="s">
        <v>417</v>
      </c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/>
      <c r="B22" s="226"/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17</v>
      </c>
      <c r="F24" s="231">
        <f>J4</f>
        <v>4</v>
      </c>
      <c r="G24" s="232">
        <f>ROUND(E24*F24,2)</f>
        <v>68</v>
      </c>
      <c r="H24" s="232">
        <v>0.2</v>
      </c>
      <c r="I24" s="232"/>
      <c r="J24" s="232"/>
      <c r="K24" s="232"/>
      <c r="L24" s="232"/>
      <c r="M24" s="232">
        <f>G24*H24</f>
        <v>13.600000000000001</v>
      </c>
      <c r="N24" s="233">
        <f>M24</f>
        <v>13.600000000000001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15.76</v>
      </c>
      <c r="H26" s="257" t="s">
        <v>416</v>
      </c>
      <c r="I26" s="244"/>
      <c r="J26" s="244"/>
      <c r="K26" s="244"/>
      <c r="L26" s="244"/>
      <c r="M26" s="232"/>
      <c r="N26" s="233">
        <f>ROUND(G26*D26,2)</f>
        <v>31.52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31.52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13.600000000000001</v>
      </c>
      <c r="N28" s="233">
        <f>ROUND((G28*H28*K28)+(M28*K28),2)</f>
        <v>21.08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21.08</v>
      </c>
      <c r="N30" s="233">
        <f>ROUND(M30*L30,2)</f>
        <v>210.8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17</v>
      </c>
      <c r="F34" s="231">
        <f>F24</f>
        <v>4</v>
      </c>
      <c r="G34" s="244">
        <f>ROUND(E34*F34,2)</f>
        <v>68</v>
      </c>
      <c r="H34" s="244"/>
      <c r="I34" s="244"/>
      <c r="J34" s="244"/>
      <c r="K34" s="244"/>
      <c r="L34" s="244"/>
      <c r="M34" s="232"/>
      <c r="N34" s="233">
        <f>G34</f>
        <v>68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55.35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11.07</v>
      </c>
      <c r="H38" s="232"/>
      <c r="I38" s="232">
        <f>1+1.5</f>
        <v>2.5</v>
      </c>
      <c r="J38" s="232"/>
      <c r="K38" s="232"/>
      <c r="L38" s="232"/>
      <c r="M38" s="232">
        <f>ROUND(G38*I38*D38,2)</f>
        <v>55.35</v>
      </c>
      <c r="N38" s="248">
        <f>M38</f>
        <v>55.35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4.3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55.35</v>
      </c>
      <c r="N41" s="233">
        <f>ROUND(K41*M41*L41,2)</f>
        <v>636.53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8.56</v>
      </c>
      <c r="H43" s="244"/>
      <c r="I43" s="244">
        <f>J9-I38</f>
        <v>3.5</v>
      </c>
      <c r="J43" s="244"/>
      <c r="K43" s="244"/>
      <c r="L43" s="244"/>
      <c r="M43" s="232">
        <f>ROUND(G43*I43*D43,2)</f>
        <v>59.92</v>
      </c>
      <c r="N43" s="233">
        <f>M43</f>
        <v>59.92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59.92</v>
      </c>
      <c r="N45" s="233">
        <f>ROUND(M45*K45*L45,2)</f>
        <v>689.08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59.92</v>
      </c>
      <c r="N47" s="233">
        <f>M47</f>
        <v>59.92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536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32"/>
      <c r="H52" s="232"/>
      <c r="I52" s="232"/>
      <c r="J52" s="232"/>
      <c r="K52" s="232"/>
      <c r="L52" s="232"/>
      <c r="M52" s="232"/>
      <c r="N52" s="248"/>
      <c r="O52" s="109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0.67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3.37</v>
      </c>
      <c r="H54" s="232">
        <v>0.1</v>
      </c>
      <c r="I54" s="232"/>
      <c r="J54" s="232"/>
      <c r="K54" s="232"/>
      <c r="L54" s="232"/>
      <c r="M54" s="232">
        <f>ROUND(G54*H54*D54,2)</f>
        <v>0.67</v>
      </c>
      <c r="N54" s="248">
        <f>M54</f>
        <v>0.67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47.18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3.37</v>
      </c>
      <c r="H61" s="232"/>
      <c r="I61" s="232">
        <v>7</v>
      </c>
      <c r="J61" s="232"/>
      <c r="K61" s="232"/>
      <c r="L61" s="232"/>
      <c r="M61" s="232">
        <f>ROUND(G61*I61*D61,2)</f>
        <v>47.18</v>
      </c>
      <c r="N61" s="248">
        <f>M61</f>
        <v>47.18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4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144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12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144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46.8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8</v>
      </c>
      <c r="E71" s="231">
        <v>5.85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46.8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437.9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23</v>
      </c>
      <c r="E75" s="231">
        <f>J3+(0.15+0.15)</f>
        <v>17.3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397.9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10</v>
      </c>
      <c r="E76" s="231">
        <f>E65</f>
        <v>4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40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69.2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17.3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34.6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17.3</v>
      </c>
      <c r="F85" s="231">
        <f>E76</f>
        <v>4</v>
      </c>
      <c r="G85" s="244">
        <f>ROUND(E85*F85,2)</f>
        <v>69.2</v>
      </c>
      <c r="H85" s="244"/>
      <c r="I85" s="244"/>
      <c r="J85" s="244"/>
      <c r="K85" s="244"/>
      <c r="L85" s="244"/>
      <c r="M85" s="232"/>
      <c r="N85" s="233">
        <f>G85</f>
        <v>69.2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>&amp;L &amp;C &amp;R</oddHeader>
    <oddFooter>&amp;L &amp;C
 &amp;R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 tint="0.34998626667073579"/>
    <pageSetUpPr fitToPage="1"/>
  </sheetPr>
  <dimension ref="A1:P40"/>
  <sheetViews>
    <sheetView showOutlineSymbols="0" showWhiteSpace="0" view="pageBreakPreview" topLeftCell="A25" zoomScale="90" zoomScaleNormal="100" zoomScaleSheetLayoutView="90" workbookViewId="0">
      <selection activeCell="M11" sqref="M11"/>
    </sheetView>
  </sheetViews>
  <sheetFormatPr defaultColWidth="8.88671875" defaultRowHeight="13.8"/>
  <cols>
    <col min="1" max="2" width="11.109375" style="110" bestFit="1" customWidth="1"/>
    <col min="3" max="3" width="14.6640625" style="110" bestFit="1" customWidth="1"/>
    <col min="4" max="4" width="67.88671875" style="110" customWidth="1"/>
    <col min="5" max="5" width="8.88671875" style="110" bestFit="1" customWidth="1"/>
    <col min="6" max="8" width="14.44140625" style="110" bestFit="1" customWidth="1"/>
    <col min="9" max="9" width="19" style="110" bestFit="1" customWidth="1"/>
    <col min="10" max="10" width="17.6640625" style="110" bestFit="1" customWidth="1"/>
    <col min="11" max="11" width="14.44140625" style="110" bestFit="1" customWidth="1"/>
    <col min="12" max="16384" width="8.88671875" style="110"/>
  </cols>
  <sheetData>
    <row r="1" spans="1:11">
      <c r="A1" s="210"/>
      <c r="B1" s="210"/>
      <c r="C1" s="210" t="s">
        <v>348</v>
      </c>
      <c r="D1" s="210"/>
      <c r="E1" s="492" t="s">
        <v>424</v>
      </c>
      <c r="F1" s="492"/>
      <c r="G1" s="492" t="s">
        <v>425</v>
      </c>
      <c r="H1" s="492"/>
      <c r="I1" s="210" t="s">
        <v>349</v>
      </c>
    </row>
    <row r="2" spans="1:11" ht="79.95" customHeight="1">
      <c r="A2" s="273"/>
      <c r="B2" s="211"/>
      <c r="C2" s="273" t="s">
        <v>836</v>
      </c>
      <c r="D2" s="273"/>
      <c r="E2" s="491" t="s">
        <v>426</v>
      </c>
      <c r="F2" s="491"/>
      <c r="G2" s="493">
        <v>0.24229999999999999</v>
      </c>
      <c r="H2" s="491"/>
      <c r="I2" s="211" t="s">
        <v>427</v>
      </c>
    </row>
    <row r="3" spans="1:11" ht="19.95" customHeight="1">
      <c r="A3" s="494" t="s">
        <v>567</v>
      </c>
      <c r="B3" s="495"/>
      <c r="C3" s="495"/>
      <c r="D3" s="495"/>
      <c r="E3" s="495"/>
      <c r="F3" s="495"/>
      <c r="G3" s="495"/>
      <c r="H3" s="495"/>
      <c r="I3" s="495"/>
    </row>
    <row r="4" spans="1:11" ht="30" customHeight="1">
      <c r="A4" s="265" t="s">
        <v>428</v>
      </c>
      <c r="B4" s="266" t="s">
        <v>59</v>
      </c>
      <c r="C4" s="265" t="s">
        <v>58</v>
      </c>
      <c r="D4" s="265" t="s">
        <v>74</v>
      </c>
      <c r="E4" s="267" t="s">
        <v>69</v>
      </c>
      <c r="F4" s="266" t="s">
        <v>70</v>
      </c>
      <c r="G4" s="266" t="s">
        <v>67</v>
      </c>
      <c r="H4" s="266" t="s">
        <v>429</v>
      </c>
      <c r="I4" s="266" t="s">
        <v>71</v>
      </c>
    </row>
    <row r="5" spans="1:11" ht="26.4" hidden="1">
      <c r="A5" s="226" t="s">
        <v>73</v>
      </c>
      <c r="B5" s="226"/>
      <c r="C5" s="226"/>
      <c r="D5" s="226" t="s">
        <v>430</v>
      </c>
      <c r="E5" s="226"/>
      <c r="F5" s="234"/>
      <c r="G5" s="269"/>
      <c r="H5" s="269"/>
      <c r="I5" s="270">
        <f>SUM(I6:I9)</f>
        <v>0</v>
      </c>
    </row>
    <row r="6" spans="1:11" ht="24" hidden="1" customHeight="1">
      <c r="A6" s="237" t="s">
        <v>350</v>
      </c>
      <c r="B6" s="238" t="s">
        <v>351</v>
      </c>
      <c r="C6" s="237" t="s">
        <v>76</v>
      </c>
      <c r="D6" s="237" t="s">
        <v>62</v>
      </c>
      <c r="E6" s="239" t="s">
        <v>352</v>
      </c>
      <c r="F6" s="241">
        <f>'MC - Baixão dos Julios'!N14</f>
        <v>0</v>
      </c>
      <c r="G6" s="271">
        <f>CPUs!H5</f>
        <v>31154.199999999997</v>
      </c>
      <c r="H6" s="271">
        <f>ROUND(G6*(100%+$G$2),2)</f>
        <v>38702.86</v>
      </c>
      <c r="I6" s="271">
        <f>ROUND(H6*F6,2)</f>
        <v>0</v>
      </c>
    </row>
    <row r="7" spans="1:11" ht="39" hidden="1" customHeight="1">
      <c r="A7" s="237" t="s">
        <v>353</v>
      </c>
      <c r="B7" s="238">
        <v>93584</v>
      </c>
      <c r="C7" s="237" t="s">
        <v>23</v>
      </c>
      <c r="D7" s="237" t="s">
        <v>354</v>
      </c>
      <c r="E7" s="239" t="s">
        <v>355</v>
      </c>
      <c r="F7" s="241">
        <f>'MC - Baixão dos Julios'!N16</f>
        <v>0</v>
      </c>
      <c r="G7" s="271">
        <v>999.1</v>
      </c>
      <c r="H7" s="271">
        <f>ROUND(G7*(100%+$G$2),2)</f>
        <v>1241.18</v>
      </c>
      <c r="I7" s="271">
        <f>ROUND(H7*F7,2)</f>
        <v>0</v>
      </c>
    </row>
    <row r="8" spans="1:11" ht="24" hidden="1" customHeight="1">
      <c r="A8" s="237" t="s">
        <v>356</v>
      </c>
      <c r="B8" s="238">
        <v>74209</v>
      </c>
      <c r="C8" s="237" t="s">
        <v>76</v>
      </c>
      <c r="D8" s="237" t="s">
        <v>357</v>
      </c>
      <c r="E8" s="239" t="s">
        <v>355</v>
      </c>
      <c r="F8" s="241">
        <f>'MC - Baixão dos Julios'!N18</f>
        <v>0</v>
      </c>
      <c r="G8" s="271">
        <f>CPUs!H11</f>
        <v>421.99</v>
      </c>
      <c r="H8" s="271">
        <f>ROUND(G8*(100%+$G$2),2)</f>
        <v>524.24</v>
      </c>
      <c r="I8" s="271">
        <f>ROUND(H8*F8,2)</f>
        <v>0</v>
      </c>
    </row>
    <row r="9" spans="1:11" ht="25.95" hidden="1" customHeight="1">
      <c r="A9" s="237" t="s">
        <v>358</v>
      </c>
      <c r="B9" s="238" t="s">
        <v>431</v>
      </c>
      <c r="C9" s="237" t="s">
        <v>76</v>
      </c>
      <c r="D9" s="237" t="s">
        <v>432</v>
      </c>
      <c r="E9" s="239" t="s">
        <v>72</v>
      </c>
      <c r="F9" s="241">
        <f>'MC - Baixão dos Julios'!N20</f>
        <v>0</v>
      </c>
      <c r="G9" s="271">
        <f>CPUs!H21</f>
        <v>60134.39</v>
      </c>
      <c r="H9" s="271">
        <f>ROUND(G9*(100%+$G$2),2)</f>
        <v>74704.95</v>
      </c>
      <c r="I9" s="271">
        <f>ROUND(H9*F9,2)</f>
        <v>0</v>
      </c>
    </row>
    <row r="10" spans="1:11" s="334" customFormat="1" ht="25.95" customHeight="1">
      <c r="A10" s="330">
        <v>3</v>
      </c>
      <c r="B10" s="330"/>
      <c r="C10" s="330"/>
      <c r="D10" s="330" t="s">
        <v>837</v>
      </c>
      <c r="E10" s="330"/>
      <c r="F10" s="335"/>
      <c r="G10" s="332"/>
      <c r="H10" s="332"/>
      <c r="I10" s="333">
        <f>I11+I18+I24+I30+I35</f>
        <v>751097.59</v>
      </c>
      <c r="J10" s="337">
        <v>1257615.05</v>
      </c>
      <c r="K10" s="336">
        <f>J10-I10</f>
        <v>506517.46000000008</v>
      </c>
    </row>
    <row r="11" spans="1:11" s="334" customFormat="1" ht="24" customHeight="1">
      <c r="A11" s="330" t="s">
        <v>24</v>
      </c>
      <c r="B11" s="330"/>
      <c r="C11" s="330"/>
      <c r="D11" s="330" t="s">
        <v>433</v>
      </c>
      <c r="E11" s="330"/>
      <c r="F11" s="335"/>
      <c r="G11" s="332"/>
      <c r="H11" s="332"/>
      <c r="I11" s="333">
        <f>SUM(I12:I17)</f>
        <v>5077.25</v>
      </c>
    </row>
    <row r="12" spans="1:11" ht="39" customHeight="1">
      <c r="A12" s="237" t="s">
        <v>619</v>
      </c>
      <c r="B12" s="238">
        <v>13072021</v>
      </c>
      <c r="C12" s="237" t="s">
        <v>76</v>
      </c>
      <c r="D12" s="237" t="s">
        <v>363</v>
      </c>
      <c r="E12" s="239" t="s">
        <v>364</v>
      </c>
      <c r="F12" s="241">
        <f>'MC - Baixão dos Julios'!N24</f>
        <v>13.3</v>
      </c>
      <c r="G12" s="271">
        <f>CPUs!H32</f>
        <v>109.71000000000001</v>
      </c>
      <c r="H12" s="271">
        <f t="shared" ref="H12:H37" si="0">ROUND(G12*(100%+$G$2),2)</f>
        <v>136.29</v>
      </c>
      <c r="I12" s="271">
        <f t="shared" ref="I12:I17" si="1">ROUND(H12*F12,2)</f>
        <v>1812.66</v>
      </c>
    </row>
    <row r="13" spans="1:11" ht="25.95" customHeight="1">
      <c r="A13" s="237" t="s">
        <v>620</v>
      </c>
      <c r="B13" s="238">
        <v>98524</v>
      </c>
      <c r="C13" s="237" t="s">
        <v>23</v>
      </c>
      <c r="D13" s="237" t="s">
        <v>434</v>
      </c>
      <c r="E13" s="239" t="s">
        <v>355</v>
      </c>
      <c r="F13" s="241">
        <f>'MC - Baixão dos Julios'!N26</f>
        <v>25.1</v>
      </c>
      <c r="G13" s="271">
        <v>2.66</v>
      </c>
      <c r="H13" s="271">
        <f t="shared" si="0"/>
        <v>3.3</v>
      </c>
      <c r="I13" s="271">
        <f t="shared" si="1"/>
        <v>82.83</v>
      </c>
    </row>
    <row r="14" spans="1:11" ht="52.2" customHeight="1">
      <c r="A14" s="237" t="s">
        <v>621</v>
      </c>
      <c r="B14" s="238">
        <v>100981</v>
      </c>
      <c r="C14" s="237" t="s">
        <v>23</v>
      </c>
      <c r="D14" s="237" t="s">
        <v>435</v>
      </c>
      <c r="E14" s="239" t="s">
        <v>364</v>
      </c>
      <c r="F14" s="241">
        <f>'MC - Baixão dos Julios'!N28</f>
        <v>19.62</v>
      </c>
      <c r="G14" s="271">
        <v>8.5299999999999994</v>
      </c>
      <c r="H14" s="271">
        <f t="shared" si="0"/>
        <v>10.6</v>
      </c>
      <c r="I14" s="271">
        <f t="shared" si="1"/>
        <v>207.97</v>
      </c>
    </row>
    <row r="15" spans="1:11" ht="39" customHeight="1">
      <c r="A15" s="237" t="s">
        <v>622</v>
      </c>
      <c r="B15" s="238">
        <v>93588</v>
      </c>
      <c r="C15" s="237" t="s">
        <v>23</v>
      </c>
      <c r="D15" s="237" t="s">
        <v>365</v>
      </c>
      <c r="E15" s="239" t="s">
        <v>366</v>
      </c>
      <c r="F15" s="241">
        <f>'MC - Baixão dos Julios'!N30</f>
        <v>196.2</v>
      </c>
      <c r="G15" s="271">
        <v>2.93</v>
      </c>
      <c r="H15" s="271">
        <f t="shared" si="0"/>
        <v>3.64</v>
      </c>
      <c r="I15" s="271">
        <f t="shared" si="1"/>
        <v>714.17</v>
      </c>
    </row>
    <row r="16" spans="1:11" ht="25.95" customHeight="1">
      <c r="A16" s="237" t="s">
        <v>623</v>
      </c>
      <c r="B16" s="238">
        <v>99058</v>
      </c>
      <c r="C16" s="237" t="s">
        <v>23</v>
      </c>
      <c r="D16" s="237" t="s">
        <v>436</v>
      </c>
      <c r="E16" s="239" t="s">
        <v>367</v>
      </c>
      <c r="F16" s="241">
        <f>'MC - Baixão dos Julios'!N32</f>
        <v>4</v>
      </c>
      <c r="G16" s="271">
        <v>9.49</v>
      </c>
      <c r="H16" s="271">
        <f t="shared" si="0"/>
        <v>11.79</v>
      </c>
      <c r="I16" s="271">
        <f t="shared" si="1"/>
        <v>47.16</v>
      </c>
    </row>
    <row r="17" spans="1:16" ht="25.95" customHeight="1">
      <c r="A17" s="237" t="s">
        <v>624</v>
      </c>
      <c r="B17" s="238" t="s">
        <v>368</v>
      </c>
      <c r="C17" s="237" t="s">
        <v>76</v>
      </c>
      <c r="D17" s="237" t="s">
        <v>369</v>
      </c>
      <c r="E17" s="239" t="s">
        <v>355</v>
      </c>
      <c r="F17" s="241">
        <f>'MC - Baixão dos Julios'!N34</f>
        <v>66.5</v>
      </c>
      <c r="G17" s="271">
        <f>CPUs!H37</f>
        <v>26.78</v>
      </c>
      <c r="H17" s="271">
        <f t="shared" si="0"/>
        <v>33.270000000000003</v>
      </c>
      <c r="I17" s="271">
        <f t="shared" si="1"/>
        <v>2212.46</v>
      </c>
    </row>
    <row r="18" spans="1:16" s="334" customFormat="1" ht="24" customHeight="1">
      <c r="A18" s="330" t="s">
        <v>563</v>
      </c>
      <c r="B18" s="330"/>
      <c r="C18" s="330"/>
      <c r="D18" s="330" t="s">
        <v>370</v>
      </c>
      <c r="E18" s="330"/>
      <c r="F18" s="335"/>
      <c r="G18" s="332"/>
      <c r="H18" s="332"/>
      <c r="I18" s="333">
        <f>SUM(I19:I23)</f>
        <v>10882.939999999999</v>
      </c>
    </row>
    <row r="19" spans="1:16" ht="52.2" customHeight="1">
      <c r="A19" s="237" t="s">
        <v>625</v>
      </c>
      <c r="B19" s="238">
        <v>101144</v>
      </c>
      <c r="C19" s="237" t="s">
        <v>23</v>
      </c>
      <c r="D19" s="237" t="s">
        <v>371</v>
      </c>
      <c r="E19" s="239" t="s">
        <v>364</v>
      </c>
      <c r="F19" s="241">
        <f>'MC - Baixão dos Julios'!N37</f>
        <v>48.75</v>
      </c>
      <c r="G19" s="271">
        <v>14.96</v>
      </c>
      <c r="H19" s="271">
        <f t="shared" si="0"/>
        <v>18.579999999999998</v>
      </c>
      <c r="I19" s="271">
        <f>ROUND(H19*F19,2)</f>
        <v>905.78</v>
      </c>
    </row>
    <row r="20" spans="1:16" ht="39" customHeight="1">
      <c r="A20" s="237" t="s">
        <v>626</v>
      </c>
      <c r="B20" s="238">
        <v>93588</v>
      </c>
      <c r="C20" s="237" t="s">
        <v>23</v>
      </c>
      <c r="D20" s="237" t="s">
        <v>422</v>
      </c>
      <c r="E20" s="239" t="s">
        <v>366</v>
      </c>
      <c r="F20" s="241">
        <f>'MC - Baixão dos Julios'!N41</f>
        <v>560.63</v>
      </c>
      <c r="G20" s="271">
        <v>2.93</v>
      </c>
      <c r="H20" s="271">
        <f t="shared" si="0"/>
        <v>3.64</v>
      </c>
      <c r="I20" s="271">
        <f>ROUND(H20*F20,2)</f>
        <v>2040.69</v>
      </c>
    </row>
    <row r="21" spans="1:16" ht="25.95" customHeight="1">
      <c r="A21" s="237" t="s">
        <v>627</v>
      </c>
      <c r="B21" s="238">
        <v>6081</v>
      </c>
      <c r="C21" s="237" t="s">
        <v>23</v>
      </c>
      <c r="D21" s="237" t="s">
        <v>437</v>
      </c>
      <c r="E21" s="239" t="s">
        <v>364</v>
      </c>
      <c r="F21" s="241">
        <f>'MC - Baixão dos Julios'!N43</f>
        <v>44.73</v>
      </c>
      <c r="G21" s="271">
        <v>82.09</v>
      </c>
      <c r="H21" s="271">
        <f t="shared" si="0"/>
        <v>101.98</v>
      </c>
      <c r="I21" s="271">
        <f>ROUND(H21*F21,2)</f>
        <v>4561.57</v>
      </c>
    </row>
    <row r="22" spans="1:16" ht="39" customHeight="1">
      <c r="A22" s="237" t="s">
        <v>628</v>
      </c>
      <c r="B22" s="238">
        <v>93588</v>
      </c>
      <c r="C22" s="237" t="s">
        <v>23</v>
      </c>
      <c r="D22" s="237" t="s">
        <v>365</v>
      </c>
      <c r="E22" s="239" t="s">
        <v>366</v>
      </c>
      <c r="F22" s="241">
        <f>'MC - Baixão dos Julios'!N45</f>
        <v>514.4</v>
      </c>
      <c r="G22" s="271">
        <v>2.93</v>
      </c>
      <c r="H22" s="271">
        <f t="shared" si="0"/>
        <v>3.64</v>
      </c>
      <c r="I22" s="271">
        <f>ROUND(H22*F22,2)</f>
        <v>1872.42</v>
      </c>
    </row>
    <row r="23" spans="1:16" ht="25.95" customHeight="1">
      <c r="A23" s="237" t="s">
        <v>629</v>
      </c>
      <c r="B23" s="238">
        <v>93382</v>
      </c>
      <c r="C23" s="237" t="s">
        <v>23</v>
      </c>
      <c r="D23" s="237" t="s">
        <v>423</v>
      </c>
      <c r="E23" s="239" t="s">
        <v>364</v>
      </c>
      <c r="F23" s="241">
        <f>'MC - Baixão dos Julios'!N47</f>
        <v>44.73</v>
      </c>
      <c r="G23" s="271">
        <v>27.04</v>
      </c>
      <c r="H23" s="271">
        <f t="shared" si="0"/>
        <v>33.590000000000003</v>
      </c>
      <c r="I23" s="271">
        <f>ROUND(H23*F23,2)</f>
        <v>1502.48</v>
      </c>
    </row>
    <row r="24" spans="1:16" s="334" customFormat="1" ht="31.2" customHeight="1">
      <c r="A24" s="330" t="s">
        <v>564</v>
      </c>
      <c r="B24" s="330"/>
      <c r="C24" s="330"/>
      <c r="D24" s="330" t="s">
        <v>601</v>
      </c>
      <c r="E24" s="330"/>
      <c r="F24" s="335"/>
      <c r="G24" s="332"/>
      <c r="H24" s="332"/>
      <c r="I24" s="333">
        <f>SUM(I26:I29)</f>
        <v>385247.38</v>
      </c>
    </row>
    <row r="25" spans="1:16" ht="39" customHeight="1">
      <c r="A25" s="237" t="s">
        <v>630</v>
      </c>
      <c r="B25" s="238">
        <v>31115</v>
      </c>
      <c r="C25" s="237" t="s">
        <v>76</v>
      </c>
      <c r="D25" s="237" t="s">
        <v>578</v>
      </c>
      <c r="E25" s="239" t="s">
        <v>333</v>
      </c>
      <c r="F25" s="241">
        <f>'MC - Baixão dos Julios'!N50</f>
        <v>120</v>
      </c>
      <c r="G25" s="271">
        <f>CPUs!H58</f>
        <v>390.18999999999994</v>
      </c>
      <c r="H25" s="271">
        <f t="shared" ref="H25:H26" si="2">ROUND(G25*(100%+$G$2),2)</f>
        <v>484.73</v>
      </c>
      <c r="I25" s="271">
        <f>ROUND(H25*F25,2)</f>
        <v>58167.6</v>
      </c>
      <c r="K25" s="110">
        <v>96616</v>
      </c>
    </row>
    <row r="26" spans="1:16" ht="39" customHeight="1">
      <c r="A26" s="237" t="s">
        <v>631</v>
      </c>
      <c r="B26" s="238">
        <v>96616</v>
      </c>
      <c r="C26" s="237" t="s">
        <v>23</v>
      </c>
      <c r="D26" s="237" t="s">
        <v>555</v>
      </c>
      <c r="E26" s="239" t="s">
        <v>364</v>
      </c>
      <c r="F26" s="241">
        <f>'MC - Baixão dos Julios'!N53</f>
        <v>0.59</v>
      </c>
      <c r="G26" s="271">
        <v>581.69000000000005</v>
      </c>
      <c r="H26" s="271">
        <f t="shared" si="2"/>
        <v>722.63</v>
      </c>
      <c r="I26" s="271">
        <f>ROUND(H26*F26,2)</f>
        <v>426.35</v>
      </c>
      <c r="K26" s="110">
        <v>96616</v>
      </c>
      <c r="O26" s="110">
        <v>104484</v>
      </c>
      <c r="P26" s="315">
        <v>3843.08</v>
      </c>
    </row>
    <row r="27" spans="1:16" ht="39" customHeight="1">
      <c r="A27" s="237" t="s">
        <v>632</v>
      </c>
      <c r="B27" s="238">
        <v>104484</v>
      </c>
      <c r="C27" s="237" t="s">
        <v>23</v>
      </c>
      <c r="D27" s="237" t="s">
        <v>548</v>
      </c>
      <c r="E27" s="239" t="s">
        <v>364</v>
      </c>
      <c r="F27" s="241">
        <f>'MC - Baixão dos Julios'!N60</f>
        <v>41.02</v>
      </c>
      <c r="G27" s="271">
        <v>3843.08</v>
      </c>
      <c r="H27" s="271">
        <f t="shared" si="0"/>
        <v>4774.26</v>
      </c>
      <c r="I27" s="271">
        <f>ROUND(H27*F27,2)</f>
        <v>195840.15</v>
      </c>
    </row>
    <row r="28" spans="1:16" ht="39" customHeight="1">
      <c r="A28" s="237" t="s">
        <v>633</v>
      </c>
      <c r="B28" s="238">
        <v>31115</v>
      </c>
      <c r="C28" s="237" t="s">
        <v>76</v>
      </c>
      <c r="D28" s="237" t="s">
        <v>602</v>
      </c>
      <c r="E28" s="239" t="s">
        <v>333</v>
      </c>
      <c r="F28" s="241">
        <f>'MC - Baixão dos Julios'!N67</f>
        <v>144</v>
      </c>
      <c r="G28" s="271">
        <f>CPUs!H66</f>
        <v>780.37999999999988</v>
      </c>
      <c r="H28" s="271">
        <f t="shared" si="0"/>
        <v>969.47</v>
      </c>
      <c r="I28" s="271">
        <f>ROUND(H28*F28,2)</f>
        <v>139603.68</v>
      </c>
    </row>
    <row r="29" spans="1:16" ht="24" customHeight="1">
      <c r="A29" s="237" t="s">
        <v>634</v>
      </c>
      <c r="B29" s="238" t="s">
        <v>547</v>
      </c>
      <c r="C29" s="237" t="s">
        <v>76</v>
      </c>
      <c r="D29" s="237" t="s">
        <v>538</v>
      </c>
      <c r="E29" s="239" t="s">
        <v>333</v>
      </c>
      <c r="F29" s="241">
        <f>'MC - Baixão dos Julios'!N70</f>
        <v>44.64</v>
      </c>
      <c r="G29" s="271">
        <f>CPUs!H74</f>
        <v>890.38</v>
      </c>
      <c r="H29" s="271">
        <f t="shared" si="0"/>
        <v>1106.1199999999999</v>
      </c>
      <c r="I29" s="271">
        <f>ROUND(H29*F29,2)</f>
        <v>49377.2</v>
      </c>
    </row>
    <row r="30" spans="1:16" s="334" customFormat="1" ht="24" customHeight="1">
      <c r="A30" s="330" t="s">
        <v>565</v>
      </c>
      <c r="B30" s="330"/>
      <c r="C30" s="330"/>
      <c r="D30" s="330" t="s">
        <v>373</v>
      </c>
      <c r="E30" s="330"/>
      <c r="F30" s="335"/>
      <c r="G30" s="332"/>
      <c r="H30" s="332"/>
      <c r="I30" s="333">
        <f>SUM(I31:I34)</f>
        <v>349427.02999999997</v>
      </c>
    </row>
    <row r="31" spans="1:16" ht="39" customHeight="1">
      <c r="A31" s="237" t="s">
        <v>635</v>
      </c>
      <c r="B31" s="238" t="s">
        <v>75</v>
      </c>
      <c r="C31" s="237" t="s">
        <v>76</v>
      </c>
      <c r="D31" s="237" t="s">
        <v>582</v>
      </c>
      <c r="E31" s="239" t="s">
        <v>333</v>
      </c>
      <c r="F31" s="241">
        <f>'MC - Baixão dos Julios'!N74</f>
        <v>421</v>
      </c>
      <c r="G31" s="271">
        <f>CPUs!H90</f>
        <v>537.33000000000004</v>
      </c>
      <c r="H31" s="271">
        <f t="shared" si="0"/>
        <v>667.53</v>
      </c>
      <c r="I31" s="271">
        <f>ROUND(H31*F31,2)</f>
        <v>281030.13</v>
      </c>
    </row>
    <row r="32" spans="1:16" ht="64.95" customHeight="1">
      <c r="A32" s="237" t="s">
        <v>636</v>
      </c>
      <c r="B32" s="238">
        <v>13072039</v>
      </c>
      <c r="C32" s="237" t="s">
        <v>76</v>
      </c>
      <c r="D32" s="237" t="s">
        <v>374</v>
      </c>
      <c r="E32" s="239" t="s">
        <v>60</v>
      </c>
      <c r="F32" s="241">
        <f>'MC - Baixão dos Julios'!N78</f>
        <v>48</v>
      </c>
      <c r="G32" s="271">
        <f>CPUs!H109</f>
        <v>136.35</v>
      </c>
      <c r="H32" s="271">
        <f t="shared" si="0"/>
        <v>169.39</v>
      </c>
      <c r="I32" s="271">
        <f>ROUND(H32*F32,2)</f>
        <v>8130.72</v>
      </c>
    </row>
    <row r="33" spans="1:10" ht="66" hidden="1">
      <c r="A33" s="237" t="s">
        <v>637</v>
      </c>
      <c r="B33" s="238">
        <v>13072040</v>
      </c>
      <c r="C33" s="237" t="s">
        <v>76</v>
      </c>
      <c r="D33" s="237" t="s">
        <v>615</v>
      </c>
      <c r="E33" s="239" t="s">
        <v>355</v>
      </c>
      <c r="F33" s="241">
        <f>'MC - Baixão dos Julios'!N80</f>
        <v>0</v>
      </c>
      <c r="G33" s="271">
        <f>CPUs!H114</f>
        <v>1106.6899999999998</v>
      </c>
      <c r="H33" s="271">
        <f t="shared" si="0"/>
        <v>1374.84</v>
      </c>
      <c r="I33" s="271">
        <f>ROUND(H33*F33,2)</f>
        <v>0</v>
      </c>
    </row>
    <row r="34" spans="1:10" ht="52.8">
      <c r="A34" s="237" t="s">
        <v>638</v>
      </c>
      <c r="B34" s="238">
        <v>13072041</v>
      </c>
      <c r="C34" s="237" t="s">
        <v>76</v>
      </c>
      <c r="D34" s="237" t="s">
        <v>375</v>
      </c>
      <c r="E34" s="239" t="s">
        <v>28</v>
      </c>
      <c r="F34" s="241">
        <f>'MC - Baixão dos Julios'!N82</f>
        <v>38.6</v>
      </c>
      <c r="G34" s="271">
        <f>CPUs!H124</f>
        <v>1256.7800000000002</v>
      </c>
      <c r="H34" s="271">
        <f t="shared" si="0"/>
        <v>1561.3</v>
      </c>
      <c r="I34" s="271">
        <f>ROUND(H34*F34,2)</f>
        <v>60266.18</v>
      </c>
    </row>
    <row r="35" spans="1:10" s="334" customFormat="1" ht="24.6" customHeight="1">
      <c r="A35" s="330" t="s">
        <v>583</v>
      </c>
      <c r="B35" s="330"/>
      <c r="C35" s="330"/>
      <c r="D35" s="330" t="s">
        <v>376</v>
      </c>
      <c r="E35" s="330"/>
      <c r="F35" s="335"/>
      <c r="G35" s="332"/>
      <c r="H35" s="332"/>
      <c r="I35" s="333">
        <f>SUM(I36:I37)</f>
        <v>462.99</v>
      </c>
    </row>
    <row r="36" spans="1:10">
      <c r="A36" s="237" t="s">
        <v>639</v>
      </c>
      <c r="B36" s="238">
        <v>99814</v>
      </c>
      <c r="C36" s="237" t="s">
        <v>23</v>
      </c>
      <c r="D36" s="237" t="s">
        <v>377</v>
      </c>
      <c r="E36" s="239" t="s">
        <v>355</v>
      </c>
      <c r="F36" s="241">
        <f>'MC - Baixão dos Julios'!N85</f>
        <v>67.55</v>
      </c>
      <c r="G36" s="271">
        <v>1.71</v>
      </c>
      <c r="H36" s="271">
        <f t="shared" ref="H36" si="3">ROUND(G36*(100%+$G$2),2)</f>
        <v>2.12</v>
      </c>
      <c r="I36" s="271">
        <f>ROUND(H36*F36,2)</f>
        <v>143.21</v>
      </c>
    </row>
    <row r="37" spans="1:10">
      <c r="A37" s="237" t="s">
        <v>640</v>
      </c>
      <c r="B37" s="238">
        <v>3239</v>
      </c>
      <c r="C37" s="237" t="s">
        <v>599</v>
      </c>
      <c r="D37" s="237" t="s">
        <v>600</v>
      </c>
      <c r="E37" s="239" t="s">
        <v>392</v>
      </c>
      <c r="F37" s="241">
        <v>1</v>
      </c>
      <c r="G37" s="271">
        <v>257.41000000000003</v>
      </c>
      <c r="H37" s="271">
        <f t="shared" si="0"/>
        <v>319.77999999999997</v>
      </c>
      <c r="I37" s="271">
        <f>ROUND(H37*F37,2)</f>
        <v>319.77999999999997</v>
      </c>
    </row>
    <row r="38" spans="1:10">
      <c r="A38" s="488"/>
      <c r="B38" s="488"/>
      <c r="C38" s="488"/>
      <c r="D38" s="213"/>
      <c r="E38" s="214"/>
      <c r="F38" s="491"/>
      <c r="G38" s="488"/>
      <c r="H38" s="487"/>
      <c r="I38" s="488"/>
    </row>
    <row r="39" spans="1:10" ht="60" customHeight="1">
      <c r="A39" s="215"/>
      <c r="B39" s="215"/>
      <c r="C39" s="215"/>
      <c r="D39" s="215"/>
      <c r="E39" s="215"/>
      <c r="F39" s="215"/>
      <c r="G39" s="215"/>
      <c r="H39" s="268" t="s">
        <v>443</v>
      </c>
      <c r="I39" s="272">
        <f>I35+I30+I24+I18+I11+I5</f>
        <v>751097.58999999985</v>
      </c>
      <c r="J39" s="324"/>
    </row>
    <row r="40" spans="1:10" ht="70.2" customHeight="1">
      <c r="A40" s="489"/>
      <c r="B40" s="490"/>
      <c r="C40" s="490"/>
      <c r="D40" s="490"/>
      <c r="E40" s="490"/>
      <c r="F40" s="490"/>
      <c r="G40" s="490"/>
      <c r="H40" s="490"/>
      <c r="I40" s="490"/>
    </row>
  </sheetData>
  <mergeCells count="9">
    <mergeCell ref="A40:I40"/>
    <mergeCell ref="A38:C38"/>
    <mergeCell ref="F38:G38"/>
    <mergeCell ref="H38:I38"/>
    <mergeCell ref="E1:F1"/>
    <mergeCell ref="G1:H1"/>
    <mergeCell ref="E2:F2"/>
    <mergeCell ref="G2:H2"/>
    <mergeCell ref="A3:I3"/>
  </mergeCells>
  <pageMargins left="0.5" right="0.5" top="1" bottom="1" header="0.5" footer="0.5"/>
  <pageSetup paperSize="9" scale="52" fitToHeight="0" orientation="portrait" r:id="rId1"/>
  <headerFooter>
    <oddHeader>&amp;L &amp;C &amp;R</oddHeader>
    <oddFooter>&amp;L &amp;C
 &amp;R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 tint="0.34998626667073579"/>
    <pageSetUpPr fitToPage="1"/>
  </sheetPr>
  <dimension ref="A1:X92"/>
  <sheetViews>
    <sheetView showGridLines="0" showOutlineSymbols="0" showWhiteSpace="0" view="pageBreakPreview" zoomScale="90" zoomScaleNormal="100" zoomScaleSheetLayoutView="90" workbookViewId="0">
      <selection activeCell="M11" sqref="M11"/>
    </sheetView>
  </sheetViews>
  <sheetFormatPr defaultColWidth="8.88671875" defaultRowHeight="13.8"/>
  <cols>
    <col min="1" max="1" width="11.109375" style="110" bestFit="1" customWidth="1"/>
    <col min="2" max="2" width="66.6640625" style="110" bestFit="1" customWidth="1"/>
    <col min="3" max="3" width="7.44140625" style="110" bestFit="1" customWidth="1"/>
    <col min="4" max="4" width="8.109375" style="110" bestFit="1" customWidth="1"/>
    <col min="5" max="5" width="9.44140625" style="110" customWidth="1"/>
    <col min="6" max="6" width="9.109375" style="110" customWidth="1"/>
    <col min="7" max="7" width="8.88671875" style="110" customWidth="1"/>
    <col min="8" max="8" width="7.33203125" style="110" customWidth="1"/>
    <col min="9" max="9" width="9.5546875" style="110" customWidth="1"/>
    <col min="10" max="10" width="12.88671875" style="110" customWidth="1"/>
    <col min="11" max="11" width="7.6640625" style="110" customWidth="1"/>
    <col min="12" max="12" width="7.88671875" style="110" customWidth="1"/>
    <col min="13" max="13" width="9" style="110" customWidth="1"/>
    <col min="14" max="14" width="7.109375" style="110" bestFit="1" customWidth="1"/>
    <col min="15" max="15" width="8.88671875" style="110"/>
    <col min="16" max="16" width="20.6640625" style="110" customWidth="1"/>
    <col min="17" max="17" width="18.109375" style="110" bestFit="1" customWidth="1"/>
    <col min="18" max="16384" width="8.88671875" style="110"/>
  </cols>
  <sheetData>
    <row r="1" spans="1:24">
      <c r="A1" s="496" t="s">
        <v>522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24">
      <c r="D2" s="219"/>
      <c r="E2" s="219"/>
      <c r="F2" s="219"/>
      <c r="G2" s="219"/>
      <c r="H2" s="219"/>
      <c r="I2" s="221" t="s">
        <v>401</v>
      </c>
      <c r="J2" s="219"/>
      <c r="K2" s="219"/>
      <c r="L2" s="219"/>
      <c r="M2" s="219"/>
      <c r="N2" s="219"/>
    </row>
    <row r="3" spans="1:24">
      <c r="D3" s="219"/>
      <c r="E3" s="219"/>
      <c r="F3" s="219"/>
      <c r="G3" s="219"/>
      <c r="H3" s="219"/>
      <c r="I3" s="297" t="s">
        <v>402</v>
      </c>
      <c r="J3" s="224">
        <v>19</v>
      </c>
      <c r="K3" s="222" t="s">
        <v>28</v>
      </c>
      <c r="L3" s="219"/>
      <c r="M3" s="219"/>
      <c r="N3" s="219"/>
    </row>
    <row r="4" spans="1:24">
      <c r="D4" s="219"/>
      <c r="E4" s="219"/>
      <c r="F4" s="219"/>
      <c r="G4" s="219"/>
      <c r="H4" s="219"/>
      <c r="I4" s="297" t="s">
        <v>403</v>
      </c>
      <c r="J4" s="224">
        <v>3.5</v>
      </c>
      <c r="K4" s="222" t="s">
        <v>28</v>
      </c>
      <c r="L4" s="219"/>
      <c r="M4" s="219"/>
      <c r="N4" s="219"/>
    </row>
    <row r="5" spans="1:24">
      <c r="D5" s="219"/>
      <c r="E5" s="219"/>
      <c r="F5" s="219"/>
      <c r="G5" s="219"/>
      <c r="H5" s="219"/>
      <c r="I5" s="297" t="s">
        <v>404</v>
      </c>
      <c r="J5" s="224">
        <v>0.15240000000000001</v>
      </c>
      <c r="K5" s="222" t="s">
        <v>28</v>
      </c>
      <c r="L5" s="219"/>
      <c r="M5" s="219"/>
      <c r="N5" s="219"/>
    </row>
    <row r="6" spans="1:24">
      <c r="D6" s="219"/>
      <c r="E6" s="219"/>
      <c r="F6" s="219"/>
      <c r="G6" s="219"/>
      <c r="H6" s="219"/>
      <c r="I6" s="297" t="s">
        <v>405</v>
      </c>
      <c r="J6" s="224">
        <v>2</v>
      </c>
      <c r="K6" s="222" t="s">
        <v>392</v>
      </c>
      <c r="L6" s="219"/>
      <c r="M6" s="219"/>
      <c r="N6" s="219"/>
      <c r="P6" s="298" t="s">
        <v>556</v>
      </c>
      <c r="Q6" s="219">
        <f>17/4</f>
        <v>4.25</v>
      </c>
      <c r="R6" s="258">
        <v>5</v>
      </c>
      <c r="S6" s="259" t="s">
        <v>417</v>
      </c>
    </row>
    <row r="7" spans="1:24">
      <c r="D7" s="219"/>
      <c r="E7" s="219"/>
      <c r="F7" s="219"/>
      <c r="G7" s="219"/>
      <c r="H7" s="219"/>
      <c r="I7" s="297" t="s">
        <v>535</v>
      </c>
      <c r="J7" s="224">
        <f>R8-1</f>
        <v>4</v>
      </c>
      <c r="K7" s="222" t="s">
        <v>392</v>
      </c>
      <c r="L7" s="220" t="s">
        <v>540</v>
      </c>
      <c r="M7" s="219">
        <f>3*J7</f>
        <v>12</v>
      </c>
      <c r="N7" s="220" t="s">
        <v>541</v>
      </c>
      <c r="P7" s="298" t="s">
        <v>513</v>
      </c>
      <c r="Q7" s="219">
        <f>17/4</f>
        <v>4.25</v>
      </c>
      <c r="R7" s="258">
        <v>5</v>
      </c>
      <c r="S7" s="259" t="s">
        <v>417</v>
      </c>
      <c r="T7" s="219"/>
      <c r="U7" s="219">
        <f>25/4</f>
        <v>6.25</v>
      </c>
      <c r="V7" s="220" t="s">
        <v>409</v>
      </c>
      <c r="W7" s="219"/>
      <c r="X7" s="220" t="s">
        <v>410</v>
      </c>
    </row>
    <row r="8" spans="1:24">
      <c r="D8" s="219"/>
      <c r="E8" s="219"/>
      <c r="F8" s="219"/>
      <c r="G8" s="219"/>
      <c r="H8" s="219"/>
      <c r="I8" s="298" t="s">
        <v>537</v>
      </c>
      <c r="J8" s="224">
        <v>6</v>
      </c>
      <c r="K8" s="222" t="s">
        <v>28</v>
      </c>
      <c r="L8" s="219"/>
      <c r="M8" s="219"/>
      <c r="N8" s="219"/>
      <c r="P8" s="298" t="s">
        <v>514</v>
      </c>
      <c r="Q8" s="219">
        <f>19/4</f>
        <v>4.75</v>
      </c>
      <c r="R8" s="258">
        <v>5</v>
      </c>
      <c r="S8" s="259" t="s">
        <v>417</v>
      </c>
      <c r="T8" s="219"/>
      <c r="U8" s="219">
        <f>15/4</f>
        <v>3.75</v>
      </c>
      <c r="V8" s="219" t="s">
        <v>411</v>
      </c>
      <c r="W8" s="219"/>
      <c r="X8" s="219"/>
    </row>
    <row r="9" spans="1:24">
      <c r="D9" s="219"/>
      <c r="E9" s="219"/>
      <c r="F9" s="219"/>
      <c r="G9" s="219"/>
      <c r="H9" s="219"/>
      <c r="I9" s="297" t="s">
        <v>406</v>
      </c>
      <c r="J9" s="224">
        <v>6</v>
      </c>
      <c r="K9" s="222" t="s">
        <v>28</v>
      </c>
      <c r="L9" s="219"/>
      <c r="M9" s="219"/>
      <c r="N9" s="219"/>
      <c r="P9" s="298" t="s">
        <v>515</v>
      </c>
      <c r="Q9" s="219">
        <f>24/4</f>
        <v>6</v>
      </c>
      <c r="R9" s="258">
        <v>6</v>
      </c>
      <c r="S9" s="259" t="s">
        <v>417</v>
      </c>
      <c r="T9" s="219"/>
      <c r="U9" s="219"/>
      <c r="V9" s="219"/>
      <c r="W9" s="219"/>
      <c r="X9" s="219"/>
    </row>
    <row r="10" spans="1:24">
      <c r="D10" s="219"/>
      <c r="E10" s="219"/>
      <c r="F10" s="219"/>
      <c r="G10" s="219"/>
      <c r="H10" s="219"/>
      <c r="I10" s="297" t="s">
        <v>407</v>
      </c>
      <c r="J10" s="225">
        <v>0.15240000000000001</v>
      </c>
      <c r="K10" s="222" t="s">
        <v>28</v>
      </c>
      <c r="L10" s="219"/>
      <c r="M10" s="219"/>
      <c r="N10" s="219"/>
      <c r="P10" s="298" t="s">
        <v>516</v>
      </c>
      <c r="Q10" s="219">
        <f>67/4</f>
        <v>16.75</v>
      </c>
      <c r="R10" s="258">
        <v>16</v>
      </c>
      <c r="S10" s="259" t="s">
        <v>417</v>
      </c>
      <c r="T10" s="219"/>
      <c r="U10" s="219">
        <f>20/4</f>
        <v>5</v>
      </c>
      <c r="V10" s="219" t="s">
        <v>412</v>
      </c>
      <c r="W10" s="219"/>
      <c r="X10" s="219"/>
    </row>
    <row r="11" spans="1:24">
      <c r="A11" s="223"/>
      <c r="B11" s="222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P11" s="298" t="s">
        <v>517</v>
      </c>
      <c r="Q11" s="219">
        <f>55/4</f>
        <v>13.75</v>
      </c>
      <c r="R11" s="258">
        <v>13</v>
      </c>
      <c r="S11" s="259" t="s">
        <v>417</v>
      </c>
    </row>
    <row r="12" spans="1:24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P12" s="298" t="s">
        <v>518</v>
      </c>
      <c r="Q12" s="219">
        <f>9.7/4</f>
        <v>2.4249999999999998</v>
      </c>
      <c r="R12" s="258">
        <v>2</v>
      </c>
      <c r="S12" s="259" t="s">
        <v>417</v>
      </c>
    </row>
    <row r="13" spans="1:24" ht="39.6" hidden="1" customHeight="1">
      <c r="A13" s="226" t="s">
        <v>73</v>
      </c>
      <c r="B13" s="226" t="s">
        <v>19</v>
      </c>
      <c r="C13" s="227" t="s">
        <v>22</v>
      </c>
      <c r="D13" s="227" t="s">
        <v>7</v>
      </c>
      <c r="E13" s="227" t="s">
        <v>387</v>
      </c>
      <c r="F13" s="228" t="s">
        <v>441</v>
      </c>
      <c r="G13" s="228" t="s">
        <v>386</v>
      </c>
      <c r="H13" s="228" t="s">
        <v>440</v>
      </c>
      <c r="I13" s="228" t="s">
        <v>394</v>
      </c>
      <c r="J13" s="228" t="s">
        <v>400</v>
      </c>
      <c r="K13" s="228" t="s">
        <v>442</v>
      </c>
      <c r="L13" s="228" t="s">
        <v>384</v>
      </c>
      <c r="M13" s="228" t="s">
        <v>385</v>
      </c>
      <c r="N13" s="228" t="s">
        <v>10</v>
      </c>
      <c r="P13" s="299" t="s">
        <v>519</v>
      </c>
      <c r="Q13" s="219">
        <f>25/4</f>
        <v>6.25</v>
      </c>
      <c r="R13" s="258">
        <v>6</v>
      </c>
      <c r="S13" s="259" t="s">
        <v>417</v>
      </c>
    </row>
    <row r="14" spans="1:24" s="217" customFormat="1" ht="39" hidden="1" customHeight="1">
      <c r="A14" s="229" t="s">
        <v>350</v>
      </c>
      <c r="B14" s="229" t="s">
        <v>62</v>
      </c>
      <c r="C14" s="230" t="s">
        <v>352</v>
      </c>
      <c r="D14" s="230">
        <v>0</v>
      </c>
      <c r="E14" s="231"/>
      <c r="F14" s="231"/>
      <c r="G14" s="232"/>
      <c r="H14" s="232"/>
      <c r="I14" s="232"/>
      <c r="J14" s="232"/>
      <c r="K14" s="232"/>
      <c r="L14" s="232"/>
      <c r="M14" s="232"/>
      <c r="N14" s="233">
        <f>D14</f>
        <v>0</v>
      </c>
      <c r="O14" s="218" t="s">
        <v>203</v>
      </c>
      <c r="P14" s="299" t="s">
        <v>520</v>
      </c>
      <c r="Q14" s="219">
        <f>15/4</f>
        <v>3.75</v>
      </c>
      <c r="R14" s="258">
        <v>3</v>
      </c>
      <c r="S14" s="259" t="s">
        <v>417</v>
      </c>
    </row>
    <row r="15" spans="1:24" s="217" customFormat="1" hidden="1">
      <c r="A15" s="229"/>
      <c r="B15" s="229"/>
      <c r="C15" s="230"/>
      <c r="D15" s="230"/>
      <c r="E15" s="231"/>
      <c r="F15" s="231"/>
      <c r="G15" s="232"/>
      <c r="H15" s="232"/>
      <c r="I15" s="232"/>
      <c r="J15" s="232"/>
      <c r="K15" s="232"/>
      <c r="L15" s="232"/>
      <c r="M15" s="232"/>
      <c r="N15" s="233"/>
      <c r="O15" s="218"/>
      <c r="P15" s="299" t="s">
        <v>521</v>
      </c>
      <c r="Q15" s="219">
        <f>20/4</f>
        <v>5</v>
      </c>
      <c r="R15" s="258">
        <v>5</v>
      </c>
      <c r="S15" s="259" t="s">
        <v>417</v>
      </c>
    </row>
    <row r="16" spans="1:24" s="217" customFormat="1" ht="39" hidden="1" customHeight="1">
      <c r="A16" s="229" t="s">
        <v>353</v>
      </c>
      <c r="B16" s="229" t="s">
        <v>354</v>
      </c>
      <c r="C16" s="230" t="s">
        <v>355</v>
      </c>
      <c r="D16" s="230"/>
      <c r="E16" s="231">
        <v>0</v>
      </c>
      <c r="F16" s="231">
        <v>3</v>
      </c>
      <c r="G16" s="232">
        <f>E16*F16</f>
        <v>0</v>
      </c>
      <c r="H16" s="232"/>
      <c r="I16" s="232"/>
      <c r="J16" s="232"/>
      <c r="K16" s="232"/>
      <c r="L16" s="232"/>
      <c r="M16" s="232"/>
      <c r="N16" s="233">
        <f>G16</f>
        <v>0</v>
      </c>
      <c r="O16" s="218" t="s">
        <v>355</v>
      </c>
      <c r="P16" s="219">
        <f>20/4</f>
        <v>5</v>
      </c>
      <c r="Q16" s="258">
        <v>5</v>
      </c>
      <c r="R16" s="259" t="s">
        <v>417</v>
      </c>
    </row>
    <row r="17" spans="1:15" s="217" customFormat="1" hidden="1">
      <c r="A17" s="229"/>
      <c r="B17" s="229"/>
      <c r="C17" s="230"/>
      <c r="D17" s="230"/>
      <c r="E17" s="231"/>
      <c r="F17" s="231"/>
      <c r="G17" s="232"/>
      <c r="H17" s="232"/>
      <c r="I17" s="232"/>
      <c r="J17" s="232"/>
      <c r="K17" s="232"/>
      <c r="L17" s="232"/>
      <c r="M17" s="232"/>
      <c r="N17" s="233"/>
      <c r="O17" s="218"/>
    </row>
    <row r="18" spans="1:15" s="217" customFormat="1" ht="39" hidden="1" customHeight="1">
      <c r="A18" s="229" t="s">
        <v>356</v>
      </c>
      <c r="B18" s="229" t="s">
        <v>357</v>
      </c>
      <c r="C18" s="230" t="s">
        <v>355</v>
      </c>
      <c r="D18" s="230">
        <v>0</v>
      </c>
      <c r="E18" s="231">
        <v>3</v>
      </c>
      <c r="F18" s="231">
        <v>1.5</v>
      </c>
      <c r="G18" s="232">
        <f>E18*F18</f>
        <v>4.5</v>
      </c>
      <c r="H18" s="232"/>
      <c r="I18" s="232"/>
      <c r="J18" s="232"/>
      <c r="K18" s="232"/>
      <c r="L18" s="232"/>
      <c r="M18" s="232"/>
      <c r="N18" s="233">
        <f>G18*D18</f>
        <v>0</v>
      </c>
      <c r="O18" s="218" t="s">
        <v>355</v>
      </c>
    </row>
    <row r="19" spans="1:15" s="217" customFormat="1" hidden="1">
      <c r="A19" s="229"/>
      <c r="B19" s="229"/>
      <c r="C19" s="230"/>
      <c r="D19" s="230"/>
      <c r="E19" s="231"/>
      <c r="F19" s="231"/>
      <c r="G19" s="232"/>
      <c r="H19" s="232"/>
      <c r="I19" s="232"/>
      <c r="J19" s="232"/>
      <c r="K19" s="232"/>
      <c r="L19" s="232"/>
      <c r="M19" s="232"/>
      <c r="N19" s="233"/>
      <c r="O19" s="218"/>
    </row>
    <row r="20" spans="1:15" s="217" customFormat="1" ht="39" hidden="1" customHeight="1">
      <c r="A20" s="229" t="s">
        <v>358</v>
      </c>
      <c r="B20" s="229" t="s">
        <v>360</v>
      </c>
      <c r="C20" s="230" t="s">
        <v>22</v>
      </c>
      <c r="D20" s="230">
        <v>0</v>
      </c>
      <c r="E20" s="231"/>
      <c r="F20" s="231"/>
      <c r="G20" s="232"/>
      <c r="H20" s="232"/>
      <c r="I20" s="232"/>
      <c r="J20" s="232"/>
      <c r="K20" s="232"/>
      <c r="L20" s="232"/>
      <c r="M20" s="232"/>
      <c r="N20" s="233">
        <f>D20</f>
        <v>0</v>
      </c>
      <c r="O20" s="218" t="s">
        <v>392</v>
      </c>
    </row>
    <row r="21" spans="1:15" s="217" customFormat="1" hidden="1">
      <c r="A21" s="229"/>
      <c r="B21" s="229"/>
      <c r="C21" s="230"/>
      <c r="D21" s="230"/>
      <c r="E21" s="231"/>
      <c r="F21" s="231"/>
      <c r="G21" s="232"/>
      <c r="H21" s="232"/>
      <c r="I21" s="232"/>
      <c r="J21" s="232"/>
      <c r="K21" s="232"/>
      <c r="L21" s="232"/>
      <c r="M21" s="232"/>
      <c r="N21" s="233"/>
      <c r="O21" s="218"/>
    </row>
    <row r="22" spans="1:15" ht="25.95" hidden="1" customHeight="1">
      <c r="A22" s="226" t="s">
        <v>361</v>
      </c>
      <c r="B22" s="226" t="s">
        <v>362</v>
      </c>
      <c r="C22" s="226"/>
      <c r="D22" s="226"/>
      <c r="E22" s="234"/>
      <c r="F22" s="226"/>
      <c r="G22" s="226"/>
      <c r="H22" s="226"/>
      <c r="I22" s="226"/>
      <c r="J22" s="226"/>
      <c r="K22" s="226"/>
      <c r="L22" s="226"/>
      <c r="M22" s="235"/>
      <c r="N22" s="236"/>
    </row>
    <row r="23" spans="1:15" ht="42.6" customHeight="1">
      <c r="A23" s="330">
        <v>1</v>
      </c>
      <c r="B23" s="330" t="s">
        <v>19</v>
      </c>
      <c r="C23" s="227" t="s">
        <v>22</v>
      </c>
      <c r="D23" s="227" t="s">
        <v>7</v>
      </c>
      <c r="E23" s="227" t="s">
        <v>387</v>
      </c>
      <c r="F23" s="228" t="s">
        <v>441</v>
      </c>
      <c r="G23" s="228" t="s">
        <v>386</v>
      </c>
      <c r="H23" s="228" t="s">
        <v>440</v>
      </c>
      <c r="I23" s="228" t="s">
        <v>394</v>
      </c>
      <c r="J23" s="228" t="s">
        <v>400</v>
      </c>
      <c r="K23" s="228" t="s">
        <v>442</v>
      </c>
      <c r="L23" s="228" t="s">
        <v>384</v>
      </c>
      <c r="M23" s="228" t="s">
        <v>385</v>
      </c>
      <c r="N23" s="228" t="s">
        <v>10</v>
      </c>
    </row>
    <row r="24" spans="1:15" s="217" customFormat="1" ht="39" customHeight="1">
      <c r="A24" s="229" t="s">
        <v>12</v>
      </c>
      <c r="B24" s="229" t="s">
        <v>363</v>
      </c>
      <c r="C24" s="230" t="s">
        <v>364</v>
      </c>
      <c r="D24" s="230"/>
      <c r="E24" s="231">
        <f>J3</f>
        <v>19</v>
      </c>
      <c r="F24" s="231">
        <f>J4</f>
        <v>3.5</v>
      </c>
      <c r="G24" s="232">
        <f>ROUND(E24*F24,2)</f>
        <v>66.5</v>
      </c>
      <c r="H24" s="232">
        <v>0.2</v>
      </c>
      <c r="I24" s="232"/>
      <c r="J24" s="232"/>
      <c r="K24" s="232"/>
      <c r="L24" s="232"/>
      <c r="M24" s="232">
        <f>G24*H24</f>
        <v>13.3</v>
      </c>
      <c r="N24" s="233">
        <f>M24</f>
        <v>13.3</v>
      </c>
      <c r="O24" s="218" t="s">
        <v>364</v>
      </c>
    </row>
    <row r="25" spans="1:15">
      <c r="A25" s="237"/>
      <c r="B25" s="237"/>
      <c r="C25" s="239"/>
      <c r="D25" s="239"/>
      <c r="E25" s="238"/>
      <c r="F25" s="240"/>
      <c r="G25" s="240"/>
      <c r="H25" s="240"/>
      <c r="I25" s="240"/>
      <c r="J25" s="240"/>
      <c r="K25" s="240"/>
      <c r="L25" s="240"/>
      <c r="M25" s="241"/>
      <c r="N25" s="241"/>
    </row>
    <row r="26" spans="1:15" s="217" customFormat="1" ht="25.95" customHeight="1">
      <c r="A26" s="229" t="s">
        <v>560</v>
      </c>
      <c r="B26" s="229" t="s">
        <v>391</v>
      </c>
      <c r="C26" s="230" t="s">
        <v>355</v>
      </c>
      <c r="D26" s="232">
        <f>J6</f>
        <v>2</v>
      </c>
      <c r="E26" s="242"/>
      <c r="F26" s="243" t="s">
        <v>383</v>
      </c>
      <c r="G26" s="244">
        <v>12.55</v>
      </c>
      <c r="H26" s="257"/>
      <c r="I26" s="244"/>
      <c r="J26" s="244"/>
      <c r="K26" s="244"/>
      <c r="L26" s="244"/>
      <c r="M26" s="232"/>
      <c r="N26" s="233">
        <f>ROUND(G26*D26,2)</f>
        <v>25.1</v>
      </c>
      <c r="O26" s="218" t="s">
        <v>355</v>
      </c>
    </row>
    <row r="27" spans="1:15">
      <c r="A27" s="237"/>
      <c r="B27" s="237"/>
      <c r="C27" s="239"/>
      <c r="D27" s="239"/>
      <c r="E27" s="238"/>
      <c r="F27" s="240"/>
      <c r="G27" s="240"/>
      <c r="H27" s="240"/>
      <c r="I27" s="240"/>
      <c r="J27" s="240"/>
      <c r="K27" s="240"/>
      <c r="L27" s="240"/>
      <c r="M27" s="241"/>
      <c r="N27" s="241"/>
    </row>
    <row r="28" spans="1:15" s="217" customFormat="1" ht="52.2" customHeight="1">
      <c r="A28" s="229" t="s">
        <v>413</v>
      </c>
      <c r="B28" s="229" t="s">
        <v>390</v>
      </c>
      <c r="C28" s="230" t="s">
        <v>364</v>
      </c>
      <c r="D28" s="230"/>
      <c r="E28" s="242"/>
      <c r="F28" s="242"/>
      <c r="G28" s="244">
        <f>N26</f>
        <v>25.1</v>
      </c>
      <c r="H28" s="244">
        <v>0.15</v>
      </c>
      <c r="I28" s="244"/>
      <c r="J28" s="244"/>
      <c r="K28" s="244">
        <v>1.1499999999999999</v>
      </c>
      <c r="L28" s="244"/>
      <c r="M28" s="232">
        <f>N24</f>
        <v>13.3</v>
      </c>
      <c r="N28" s="233">
        <f>ROUND((G28*H28*K28)+(M28*K28),2)</f>
        <v>19.62</v>
      </c>
      <c r="O28" s="218" t="s">
        <v>364</v>
      </c>
    </row>
    <row r="29" spans="1:15">
      <c r="A29" s="237"/>
      <c r="B29" s="237"/>
      <c r="C29" s="239"/>
      <c r="D29" s="239"/>
      <c r="E29" s="238"/>
      <c r="F29" s="240"/>
      <c r="G29" s="240"/>
      <c r="H29" s="240"/>
      <c r="I29" s="240"/>
      <c r="J29" s="240"/>
      <c r="K29" s="240"/>
      <c r="L29" s="240"/>
      <c r="M29" s="240"/>
      <c r="N29" s="245"/>
    </row>
    <row r="30" spans="1:15" s="217" customFormat="1" ht="26.4">
      <c r="A30" s="229" t="s">
        <v>18</v>
      </c>
      <c r="B30" s="229" t="s">
        <v>365</v>
      </c>
      <c r="C30" s="230" t="s">
        <v>366</v>
      </c>
      <c r="D30" s="230"/>
      <c r="E30" s="242"/>
      <c r="F30" s="242"/>
      <c r="G30" s="244"/>
      <c r="H30" s="244"/>
      <c r="I30" s="244"/>
      <c r="J30" s="244"/>
      <c r="K30" s="244"/>
      <c r="L30" s="244">
        <v>10</v>
      </c>
      <c r="M30" s="232">
        <f>N28</f>
        <v>19.62</v>
      </c>
      <c r="N30" s="233">
        <f>ROUND(M30*L30,2)</f>
        <v>196.2</v>
      </c>
      <c r="O30" s="218" t="s">
        <v>388</v>
      </c>
    </row>
    <row r="31" spans="1:15">
      <c r="A31" s="237"/>
      <c r="B31" s="237"/>
      <c r="C31" s="239"/>
      <c r="D31" s="239"/>
      <c r="E31" s="238"/>
      <c r="F31" s="240"/>
      <c r="G31" s="240"/>
      <c r="H31" s="240"/>
      <c r="I31" s="240"/>
      <c r="J31" s="240"/>
      <c r="K31" s="240"/>
      <c r="L31" s="240"/>
      <c r="M31" s="240"/>
      <c r="N31" s="245"/>
    </row>
    <row r="32" spans="1:15" s="217" customFormat="1" ht="42.6" customHeight="1">
      <c r="A32" s="229" t="s">
        <v>561</v>
      </c>
      <c r="B32" s="229" t="s">
        <v>389</v>
      </c>
      <c r="C32" s="230" t="s">
        <v>367</v>
      </c>
      <c r="D32" s="230">
        <v>4</v>
      </c>
      <c r="E32" s="242"/>
      <c r="F32" s="242"/>
      <c r="G32" s="244"/>
      <c r="H32" s="244"/>
      <c r="I32" s="244"/>
      <c r="J32" s="244"/>
      <c r="K32" s="244"/>
      <c r="L32" s="244"/>
      <c r="M32" s="232"/>
      <c r="N32" s="233">
        <f>D32</f>
        <v>4</v>
      </c>
      <c r="O32" s="218" t="s">
        <v>392</v>
      </c>
    </row>
    <row r="33" spans="1:15">
      <c r="A33" s="237"/>
      <c r="B33" s="237"/>
      <c r="C33" s="239"/>
      <c r="D33" s="239"/>
      <c r="E33" s="238"/>
      <c r="F33" s="240"/>
      <c r="G33" s="240"/>
      <c r="H33" s="240"/>
      <c r="I33" s="240"/>
      <c r="J33" s="240"/>
      <c r="K33" s="240"/>
      <c r="L33" s="240"/>
      <c r="M33" s="240"/>
      <c r="N33" s="245"/>
    </row>
    <row r="34" spans="1:15" s="217" customFormat="1" ht="42.6" customHeight="1">
      <c r="A34" s="316" t="s">
        <v>562</v>
      </c>
      <c r="B34" s="229" t="s">
        <v>369</v>
      </c>
      <c r="C34" s="230" t="s">
        <v>355</v>
      </c>
      <c r="D34" s="230"/>
      <c r="E34" s="231">
        <f>E24</f>
        <v>19</v>
      </c>
      <c r="F34" s="231">
        <f>F24</f>
        <v>3.5</v>
      </c>
      <c r="G34" s="244">
        <f>ROUND(E34*F34,2)</f>
        <v>66.5</v>
      </c>
      <c r="H34" s="244"/>
      <c r="I34" s="244"/>
      <c r="J34" s="244"/>
      <c r="K34" s="244"/>
      <c r="L34" s="244"/>
      <c r="M34" s="232"/>
      <c r="N34" s="233">
        <f>G34</f>
        <v>66.5</v>
      </c>
      <c r="O34" s="218" t="s">
        <v>355</v>
      </c>
    </row>
    <row r="35" spans="1:15">
      <c r="A35" s="237"/>
      <c r="B35" s="237"/>
      <c r="C35" s="239"/>
      <c r="D35" s="239"/>
      <c r="E35" s="238"/>
      <c r="F35" s="240"/>
      <c r="G35" s="240"/>
      <c r="H35" s="240"/>
      <c r="I35" s="240"/>
      <c r="J35" s="240"/>
      <c r="K35" s="240"/>
      <c r="L35" s="240"/>
      <c r="M35" s="240"/>
      <c r="N35" s="245"/>
    </row>
    <row r="36" spans="1:15" ht="39" customHeight="1">
      <c r="A36" s="330">
        <v>2</v>
      </c>
      <c r="B36" s="330" t="s">
        <v>370</v>
      </c>
      <c r="C36" s="227" t="s">
        <v>22</v>
      </c>
      <c r="D36" s="227" t="s">
        <v>7</v>
      </c>
      <c r="E36" s="227" t="s">
        <v>387</v>
      </c>
      <c r="F36" s="228" t="s">
        <v>441</v>
      </c>
      <c r="G36" s="228" t="s">
        <v>386</v>
      </c>
      <c r="H36" s="228" t="s">
        <v>440</v>
      </c>
      <c r="I36" s="228" t="s">
        <v>394</v>
      </c>
      <c r="J36" s="228" t="s">
        <v>400</v>
      </c>
      <c r="K36" s="228" t="s">
        <v>442</v>
      </c>
      <c r="L36" s="228" t="s">
        <v>384</v>
      </c>
      <c r="M36" s="228" t="s">
        <v>385</v>
      </c>
      <c r="N36" s="228" t="s">
        <v>10</v>
      </c>
    </row>
    <row r="37" spans="1:15" s="217" customFormat="1" ht="52.8">
      <c r="A37" s="229" t="s">
        <v>26</v>
      </c>
      <c r="B37" s="229" t="s">
        <v>371</v>
      </c>
      <c r="C37" s="230" t="s">
        <v>364</v>
      </c>
      <c r="D37" s="230"/>
      <c r="E37" s="231"/>
      <c r="F37" s="231"/>
      <c r="G37" s="244"/>
      <c r="H37" s="244"/>
      <c r="I37" s="244"/>
      <c r="J37" s="244"/>
      <c r="K37" s="244"/>
      <c r="L37" s="244"/>
      <c r="M37" s="232"/>
      <c r="N37" s="233">
        <f>N38+N39</f>
        <v>48.75</v>
      </c>
      <c r="O37" s="218" t="s">
        <v>364</v>
      </c>
    </row>
    <row r="38" spans="1:15" s="217" customFormat="1">
      <c r="A38" s="229"/>
      <c r="B38" s="246" t="s">
        <v>393</v>
      </c>
      <c r="C38" s="230"/>
      <c r="D38" s="232">
        <f>J6</f>
        <v>2</v>
      </c>
      <c r="E38" s="231"/>
      <c r="F38" s="247" t="s">
        <v>383</v>
      </c>
      <c r="G38" s="260">
        <v>9.75</v>
      </c>
      <c r="H38" s="232"/>
      <c r="I38" s="232">
        <f>1+1.5</f>
        <v>2.5</v>
      </c>
      <c r="J38" s="232"/>
      <c r="K38" s="232"/>
      <c r="L38" s="232"/>
      <c r="M38" s="232">
        <f>ROUND(G38*I38*D38,2)</f>
        <v>48.75</v>
      </c>
      <c r="N38" s="248">
        <f>M38</f>
        <v>48.75</v>
      </c>
      <c r="O38" s="109" t="s">
        <v>364</v>
      </c>
    </row>
    <row r="39" spans="1:15" s="217" customFormat="1" hidden="1">
      <c r="A39" s="229"/>
      <c r="B39" s="302" t="s">
        <v>395</v>
      </c>
      <c r="C39" s="303"/>
      <c r="D39" s="304">
        <v>0</v>
      </c>
      <c r="E39" s="305">
        <f>J4+(0.15+0.15)</f>
        <v>3.8</v>
      </c>
      <c r="F39" s="305">
        <f>J5</f>
        <v>0.15240000000000001</v>
      </c>
      <c r="G39" s="304"/>
      <c r="H39" s="304"/>
      <c r="I39" s="304">
        <v>1</v>
      </c>
      <c r="J39" s="304"/>
      <c r="K39" s="304"/>
      <c r="L39" s="304"/>
      <c r="M39" s="304">
        <f>ROUND(E39*F39*I39*D39,2)</f>
        <v>0</v>
      </c>
      <c r="N39" s="306">
        <f>M39</f>
        <v>0</v>
      </c>
      <c r="O39" s="307" t="s">
        <v>364</v>
      </c>
    </row>
    <row r="40" spans="1:15" s="217" customFormat="1">
      <c r="A40" s="229"/>
      <c r="B40" s="229"/>
      <c r="C40" s="230"/>
      <c r="D40" s="230"/>
      <c r="E40" s="231"/>
      <c r="F40" s="231"/>
      <c r="G40" s="244"/>
      <c r="H40" s="244"/>
      <c r="I40" s="244"/>
      <c r="J40" s="244"/>
      <c r="K40" s="244"/>
      <c r="L40" s="244"/>
      <c r="M40" s="232"/>
      <c r="N40" s="233"/>
      <c r="O40" s="218"/>
    </row>
    <row r="41" spans="1:15" s="217" customFormat="1">
      <c r="A41" s="229" t="s">
        <v>274</v>
      </c>
      <c r="B41" s="229" t="s">
        <v>422</v>
      </c>
      <c r="C41" s="230" t="s">
        <v>366</v>
      </c>
      <c r="D41" s="230"/>
      <c r="E41" s="231"/>
      <c r="F41" s="231"/>
      <c r="G41" s="244"/>
      <c r="H41" s="244"/>
      <c r="I41" s="244"/>
      <c r="J41" s="244"/>
      <c r="K41" s="244">
        <v>1.1499999999999999</v>
      </c>
      <c r="L41" s="244">
        <v>10</v>
      </c>
      <c r="M41" s="232">
        <f>N37</f>
        <v>48.75</v>
      </c>
      <c r="N41" s="233">
        <f>ROUND(K41*M41*L41,2)</f>
        <v>560.63</v>
      </c>
      <c r="O41" s="218" t="s">
        <v>388</v>
      </c>
    </row>
    <row r="42" spans="1:15" s="217" customFormat="1">
      <c r="A42" s="229"/>
      <c r="B42" s="229"/>
      <c r="C42" s="230"/>
      <c r="D42" s="230"/>
      <c r="E42" s="231"/>
      <c r="F42" s="231"/>
      <c r="G42" s="244"/>
      <c r="H42" s="244"/>
      <c r="I42" s="244"/>
      <c r="J42" s="244"/>
      <c r="K42" s="244"/>
      <c r="L42" s="244"/>
      <c r="M42" s="232"/>
      <c r="N42" s="233"/>
      <c r="O42" s="218"/>
    </row>
    <row r="43" spans="1:15" s="217" customFormat="1" ht="30.6" customHeight="1">
      <c r="A43" s="229" t="s">
        <v>278</v>
      </c>
      <c r="B43" s="229" t="s">
        <v>396</v>
      </c>
      <c r="C43" s="230" t="s">
        <v>364</v>
      </c>
      <c r="D43" s="232">
        <f>D38</f>
        <v>2</v>
      </c>
      <c r="E43" s="231"/>
      <c r="F43" s="247" t="s">
        <v>383</v>
      </c>
      <c r="G43" s="261">
        <v>6.39</v>
      </c>
      <c r="H43" s="244"/>
      <c r="I43" s="244">
        <f>J9-I38</f>
        <v>3.5</v>
      </c>
      <c r="J43" s="244"/>
      <c r="K43" s="244"/>
      <c r="L43" s="244"/>
      <c r="M43" s="232">
        <f>ROUND(G43*I43*D43,2)</f>
        <v>44.73</v>
      </c>
      <c r="N43" s="233">
        <f>M43</f>
        <v>44.73</v>
      </c>
      <c r="O43" s="218" t="s">
        <v>364</v>
      </c>
    </row>
    <row r="44" spans="1:15" s="217" customFormat="1">
      <c r="A44" s="229"/>
      <c r="B44" s="229"/>
      <c r="C44" s="230"/>
      <c r="D44" s="230"/>
      <c r="E44" s="231"/>
      <c r="F44" s="231"/>
      <c r="G44" s="244"/>
      <c r="H44" s="244"/>
      <c r="I44" s="244"/>
      <c r="J44" s="244"/>
      <c r="K44" s="244"/>
      <c r="L44" s="244"/>
      <c r="M44" s="232"/>
      <c r="N44" s="233"/>
      <c r="O44" s="218"/>
    </row>
    <row r="45" spans="1:15" s="217" customFormat="1" ht="26.4">
      <c r="A45" s="229" t="s">
        <v>293</v>
      </c>
      <c r="B45" s="229" t="s">
        <v>365</v>
      </c>
      <c r="C45" s="230" t="s">
        <v>366</v>
      </c>
      <c r="D45" s="230"/>
      <c r="E45" s="231"/>
      <c r="F45" s="231"/>
      <c r="G45" s="244"/>
      <c r="H45" s="244"/>
      <c r="I45" s="244"/>
      <c r="J45" s="244"/>
      <c r="K45" s="244">
        <v>1.1499999999999999</v>
      </c>
      <c r="L45" s="244">
        <v>10</v>
      </c>
      <c r="M45" s="232">
        <f>N43</f>
        <v>44.73</v>
      </c>
      <c r="N45" s="233">
        <f>ROUND(M45*K45*L45,2)</f>
        <v>514.4</v>
      </c>
      <c r="O45" s="218" t="s">
        <v>388</v>
      </c>
    </row>
    <row r="46" spans="1:15" s="217" customFormat="1">
      <c r="A46" s="229"/>
      <c r="B46" s="229"/>
      <c r="C46" s="230"/>
      <c r="D46" s="230"/>
      <c r="E46" s="231"/>
      <c r="F46" s="231"/>
      <c r="G46" s="244"/>
      <c r="H46" s="244"/>
      <c r="I46" s="244"/>
      <c r="J46" s="244"/>
      <c r="K46" s="244"/>
      <c r="L46" s="244"/>
      <c r="M46" s="232"/>
      <c r="N46" s="233"/>
      <c r="O46" s="218"/>
    </row>
    <row r="47" spans="1:15" s="217" customFormat="1" ht="26.4">
      <c r="A47" s="229" t="s">
        <v>459</v>
      </c>
      <c r="B47" s="229" t="s">
        <v>423</v>
      </c>
      <c r="C47" s="230" t="s">
        <v>364</v>
      </c>
      <c r="D47" s="230"/>
      <c r="E47" s="231"/>
      <c r="F47" s="231"/>
      <c r="G47" s="244"/>
      <c r="H47" s="244"/>
      <c r="I47" s="244"/>
      <c r="J47" s="244"/>
      <c r="K47" s="244"/>
      <c r="L47" s="244"/>
      <c r="M47" s="232">
        <f>N43</f>
        <v>44.73</v>
      </c>
      <c r="N47" s="233">
        <f>M47</f>
        <v>44.73</v>
      </c>
      <c r="O47" s="218" t="s">
        <v>364</v>
      </c>
    </row>
    <row r="48" spans="1:15" s="217" customFormat="1">
      <c r="A48" s="229"/>
      <c r="B48" s="229"/>
      <c r="C48" s="230"/>
      <c r="D48" s="230"/>
      <c r="E48" s="231"/>
      <c r="F48" s="231"/>
      <c r="G48" s="244"/>
      <c r="H48" s="244"/>
      <c r="I48" s="244"/>
      <c r="J48" s="244"/>
      <c r="K48" s="244"/>
      <c r="L48" s="244"/>
      <c r="M48" s="232"/>
      <c r="N48" s="233"/>
      <c r="O48" s="218"/>
    </row>
    <row r="49" spans="1:19" ht="43.2" customHeight="1">
      <c r="A49" s="330">
        <v>3</v>
      </c>
      <c r="B49" s="330" t="s">
        <v>601</v>
      </c>
      <c r="C49" s="227" t="s">
        <v>22</v>
      </c>
      <c r="D49" s="227" t="s">
        <v>7</v>
      </c>
      <c r="E49" s="227" t="s">
        <v>387</v>
      </c>
      <c r="F49" s="228" t="s">
        <v>441</v>
      </c>
      <c r="G49" s="228" t="s">
        <v>386</v>
      </c>
      <c r="H49" s="228" t="s">
        <v>440</v>
      </c>
      <c r="I49" s="228" t="s">
        <v>394</v>
      </c>
      <c r="J49" s="228" t="s">
        <v>400</v>
      </c>
      <c r="K49" s="228" t="s">
        <v>442</v>
      </c>
      <c r="L49" s="228" t="s">
        <v>384</v>
      </c>
      <c r="M49" s="228" t="s">
        <v>385</v>
      </c>
      <c r="N49" s="228" t="s">
        <v>10</v>
      </c>
    </row>
    <row r="50" spans="1:19" s="217" customFormat="1" ht="26.4">
      <c r="A50" s="229" t="s">
        <v>24</v>
      </c>
      <c r="B50" s="229" t="s">
        <v>578</v>
      </c>
      <c r="C50" s="230" t="s">
        <v>28</v>
      </c>
      <c r="D50" s="230"/>
      <c r="E50" s="231"/>
      <c r="F50" s="231"/>
      <c r="G50" s="244"/>
      <c r="H50" s="244"/>
      <c r="I50" s="244"/>
      <c r="J50" s="244"/>
      <c r="K50" s="244"/>
      <c r="L50" s="244"/>
      <c r="M50" s="232"/>
      <c r="N50" s="233">
        <f>SUM(N51)</f>
        <v>120</v>
      </c>
      <c r="O50" s="218" t="s">
        <v>28</v>
      </c>
    </row>
    <row r="51" spans="1:19" s="217" customFormat="1">
      <c r="A51" s="229"/>
      <c r="B51" s="246" t="s">
        <v>536</v>
      </c>
      <c r="C51" s="230"/>
      <c r="D51" s="230">
        <f>5*J6</f>
        <v>10</v>
      </c>
      <c r="E51" s="231">
        <f>J8+J9</f>
        <v>12</v>
      </c>
      <c r="F51" s="247"/>
      <c r="G51" s="261"/>
      <c r="H51" s="232"/>
      <c r="I51" s="232"/>
      <c r="J51" s="232"/>
      <c r="K51" s="232"/>
      <c r="L51" s="232"/>
      <c r="M51" s="232"/>
      <c r="N51" s="248">
        <f>ROUND(D51*E51,2)</f>
        <v>120</v>
      </c>
      <c r="O51" s="109" t="s">
        <v>28</v>
      </c>
      <c r="Q51" s="24" t="s">
        <v>418</v>
      </c>
      <c r="R51" s="160">
        <f>4.16*0.75</f>
        <v>3.12</v>
      </c>
      <c r="S51" s="161" t="s">
        <v>218</v>
      </c>
    </row>
    <row r="52" spans="1:19" s="217" customFormat="1">
      <c r="A52" s="229"/>
      <c r="B52" s="246"/>
      <c r="C52" s="230"/>
      <c r="D52" s="230"/>
      <c r="E52" s="231"/>
      <c r="F52" s="247"/>
      <c r="G52" s="261"/>
      <c r="H52" s="232"/>
      <c r="I52" s="232"/>
      <c r="J52" s="232"/>
      <c r="K52" s="232"/>
      <c r="L52" s="232"/>
      <c r="M52" s="232"/>
      <c r="N52" s="248"/>
      <c r="O52" s="109"/>
      <c r="Q52" s="24"/>
      <c r="R52" s="160"/>
      <c r="S52" s="161"/>
    </row>
    <row r="53" spans="1:19" s="217" customFormat="1">
      <c r="A53" s="229" t="s">
        <v>563</v>
      </c>
      <c r="B53" s="229" t="s">
        <v>554</v>
      </c>
      <c r="C53" s="230" t="s">
        <v>364</v>
      </c>
      <c r="D53" s="230"/>
      <c r="E53" s="231"/>
      <c r="F53" s="231"/>
      <c r="G53" s="244"/>
      <c r="H53" s="244"/>
      <c r="I53" s="244"/>
      <c r="J53" s="244"/>
      <c r="K53" s="244"/>
      <c r="L53" s="244"/>
      <c r="M53" s="232"/>
      <c r="N53" s="233">
        <f>SUM(N54)</f>
        <v>0.59</v>
      </c>
      <c r="O53" s="218" t="s">
        <v>364</v>
      </c>
    </row>
    <row r="54" spans="1:19" s="217" customFormat="1">
      <c r="A54" s="229"/>
      <c r="B54" s="246" t="s">
        <v>393</v>
      </c>
      <c r="C54" s="230"/>
      <c r="D54" s="230">
        <v>2</v>
      </c>
      <c r="E54" s="231"/>
      <c r="F54" s="247" t="s">
        <v>383</v>
      </c>
      <c r="G54" s="261">
        <v>2.93</v>
      </c>
      <c r="H54" s="232">
        <v>0.1</v>
      </c>
      <c r="I54" s="232"/>
      <c r="J54" s="232"/>
      <c r="K54" s="232"/>
      <c r="L54" s="232"/>
      <c r="M54" s="232">
        <f>ROUND(G54*H54*D54,2)</f>
        <v>0.59</v>
      </c>
      <c r="N54" s="248">
        <f>M54</f>
        <v>0.59</v>
      </c>
      <c r="O54" s="109" t="s">
        <v>364</v>
      </c>
      <c r="Q54" s="24" t="s">
        <v>418</v>
      </c>
      <c r="R54" s="160">
        <f>4.16*0.75</f>
        <v>3.12</v>
      </c>
      <c r="S54" s="161" t="s">
        <v>218</v>
      </c>
    </row>
    <row r="55" spans="1:19" s="217" customFormat="1" hidden="1">
      <c r="A55" s="229"/>
      <c r="B55" s="246" t="s">
        <v>397</v>
      </c>
      <c r="C55" s="230"/>
      <c r="D55" s="230"/>
      <c r="E55" s="231"/>
      <c r="F55" s="247" t="s">
        <v>383</v>
      </c>
      <c r="G55" s="261">
        <v>5.43</v>
      </c>
      <c r="H55" s="232"/>
      <c r="I55" s="232">
        <f>I54</f>
        <v>0</v>
      </c>
      <c r="J55" s="232"/>
      <c r="K55" s="232"/>
      <c r="L55" s="232"/>
      <c r="M55" s="232">
        <f>ROUND(G55*I55*D55,2)</f>
        <v>0</v>
      </c>
      <c r="N55" s="248">
        <f>M55</f>
        <v>0</v>
      </c>
      <c r="O55" s="109" t="s">
        <v>364</v>
      </c>
      <c r="Q55" s="24"/>
      <c r="R55" s="160"/>
      <c r="S55" s="161"/>
    </row>
    <row r="56" spans="1:19" s="217" customFormat="1" hidden="1">
      <c r="A56" s="229"/>
      <c r="B56" s="246" t="s">
        <v>398</v>
      </c>
      <c r="C56" s="230"/>
      <c r="D56" s="230">
        <f>D55</f>
        <v>0</v>
      </c>
      <c r="E56" s="231"/>
      <c r="F56" s="247" t="s">
        <v>383</v>
      </c>
      <c r="G56" s="261">
        <v>6.58</v>
      </c>
      <c r="H56" s="232"/>
      <c r="I56" s="232">
        <f>I55</f>
        <v>0</v>
      </c>
      <c r="J56" s="232"/>
      <c r="K56" s="232"/>
      <c r="L56" s="232"/>
      <c r="M56" s="232">
        <f>ROUND(G56*I56*D56,2)</f>
        <v>0</v>
      </c>
      <c r="N56" s="248">
        <f>M56</f>
        <v>0</v>
      </c>
      <c r="O56" s="109" t="s">
        <v>364</v>
      </c>
      <c r="Q56" s="24" t="s">
        <v>419</v>
      </c>
      <c r="R56" s="160">
        <f>5.43*0.75</f>
        <v>4.0724999999999998</v>
      </c>
      <c r="S56" s="161" t="s">
        <v>218</v>
      </c>
    </row>
    <row r="57" spans="1:19" s="217" customFormat="1" hidden="1">
      <c r="A57" s="229"/>
      <c r="B57" s="246" t="s">
        <v>399</v>
      </c>
      <c r="C57" s="230"/>
      <c r="D57" s="230">
        <f>D56</f>
        <v>0</v>
      </c>
      <c r="E57" s="231"/>
      <c r="F57" s="247" t="s">
        <v>383</v>
      </c>
      <c r="G57" s="261">
        <v>7.61</v>
      </c>
      <c r="H57" s="232"/>
      <c r="I57" s="232">
        <f>I56+1</f>
        <v>1</v>
      </c>
      <c r="J57" s="232"/>
      <c r="K57" s="232"/>
      <c r="L57" s="232"/>
      <c r="M57" s="232">
        <f>ROUND(G57*I57*D57,2)</f>
        <v>0</v>
      </c>
      <c r="N57" s="248">
        <f>M57</f>
        <v>0</v>
      </c>
      <c r="O57" s="109" t="s">
        <v>364</v>
      </c>
      <c r="Q57" s="24" t="s">
        <v>420</v>
      </c>
      <c r="R57" s="160">
        <f>6.58*0.75</f>
        <v>4.9350000000000005</v>
      </c>
      <c r="S57" s="161" t="s">
        <v>218</v>
      </c>
    </row>
    <row r="58" spans="1:19" s="310" customFormat="1" hidden="1">
      <c r="A58" s="308"/>
      <c r="B58" s="302" t="s">
        <v>395</v>
      </c>
      <c r="C58" s="303"/>
      <c r="D58" s="304">
        <v>0</v>
      </c>
      <c r="E58" s="305" t="e">
        <f>#REF!</f>
        <v>#REF!</v>
      </c>
      <c r="F58" s="309">
        <f>F32</f>
        <v>0</v>
      </c>
      <c r="G58" s="304"/>
      <c r="H58" s="304"/>
      <c r="I58" s="304">
        <f>J2</f>
        <v>0</v>
      </c>
      <c r="J58" s="304"/>
      <c r="K58" s="304"/>
      <c r="L58" s="304"/>
      <c r="M58" s="304" t="e">
        <f>ROUND(E58*F58*I58*D58,2)</f>
        <v>#REF!</v>
      </c>
      <c r="N58" s="306" t="e">
        <f>M58</f>
        <v>#REF!</v>
      </c>
      <c r="O58" s="307" t="s">
        <v>364</v>
      </c>
      <c r="Q58" s="311" t="s">
        <v>421</v>
      </c>
      <c r="R58" s="312">
        <f>7.61*(0.75+1)</f>
        <v>13.317500000000001</v>
      </c>
      <c r="S58" s="313" t="s">
        <v>218</v>
      </c>
    </row>
    <row r="59" spans="1:19" s="217" customFormat="1">
      <c r="A59" s="229"/>
      <c r="B59" s="246"/>
      <c r="C59" s="230"/>
      <c r="D59" s="230"/>
      <c r="E59" s="231"/>
      <c r="F59" s="247"/>
      <c r="G59" s="232"/>
      <c r="H59" s="232"/>
      <c r="I59" s="232"/>
      <c r="J59" s="232"/>
      <c r="K59" s="232"/>
      <c r="L59" s="232"/>
      <c r="M59" s="232"/>
      <c r="N59" s="248"/>
      <c r="O59" s="109"/>
    </row>
    <row r="60" spans="1:19" s="217" customFormat="1">
      <c r="A60" s="229" t="s">
        <v>564</v>
      </c>
      <c r="B60" s="229" t="s">
        <v>548</v>
      </c>
      <c r="C60" s="230" t="s">
        <v>364</v>
      </c>
      <c r="D60" s="230"/>
      <c r="E60" s="231"/>
      <c r="F60" s="231"/>
      <c r="G60" s="244"/>
      <c r="H60" s="244"/>
      <c r="I60" s="244"/>
      <c r="J60" s="244"/>
      <c r="K60" s="244"/>
      <c r="L60" s="244"/>
      <c r="M60" s="232"/>
      <c r="N60" s="233">
        <f>SUM(N61:N65)</f>
        <v>41.02</v>
      </c>
      <c r="O60" s="218" t="s">
        <v>364</v>
      </c>
    </row>
    <row r="61" spans="1:19" s="217" customFormat="1">
      <c r="A61" s="229"/>
      <c r="B61" s="246" t="s">
        <v>393</v>
      </c>
      <c r="C61" s="230"/>
      <c r="D61" s="230">
        <f>D38</f>
        <v>2</v>
      </c>
      <c r="E61" s="231"/>
      <c r="F61" s="247" t="s">
        <v>383</v>
      </c>
      <c r="G61" s="261">
        <f>G54</f>
        <v>2.93</v>
      </c>
      <c r="H61" s="232"/>
      <c r="I61" s="232">
        <v>7</v>
      </c>
      <c r="J61" s="232"/>
      <c r="K61" s="232"/>
      <c r="L61" s="232"/>
      <c r="M61" s="232">
        <f>ROUND(G61*I61*D61,2)</f>
        <v>41.02</v>
      </c>
      <c r="N61" s="248">
        <f>M61</f>
        <v>41.02</v>
      </c>
      <c r="O61" s="109" t="s">
        <v>364</v>
      </c>
      <c r="Q61" s="24" t="s">
        <v>418</v>
      </c>
      <c r="R61" s="160">
        <f>4.16*0.75</f>
        <v>3.12</v>
      </c>
      <c r="S61" s="161" t="s">
        <v>218</v>
      </c>
    </row>
    <row r="62" spans="1:19" s="217" customFormat="1" hidden="1">
      <c r="A62" s="229"/>
      <c r="B62" s="246" t="s">
        <v>397</v>
      </c>
      <c r="C62" s="230"/>
      <c r="D62" s="230"/>
      <c r="E62" s="231"/>
      <c r="F62" s="247" t="s">
        <v>383</v>
      </c>
      <c r="G62" s="261">
        <v>5.43</v>
      </c>
      <c r="H62" s="232"/>
      <c r="I62" s="232">
        <f>I61</f>
        <v>7</v>
      </c>
      <c r="J62" s="232"/>
      <c r="K62" s="232"/>
      <c r="L62" s="232"/>
      <c r="M62" s="232">
        <f>ROUND(G62*I62*D62,2)</f>
        <v>0</v>
      </c>
      <c r="N62" s="248">
        <f>M62</f>
        <v>0</v>
      </c>
      <c r="O62" s="109" t="s">
        <v>364</v>
      </c>
      <c r="Q62" s="24"/>
      <c r="R62" s="160"/>
      <c r="S62" s="161"/>
    </row>
    <row r="63" spans="1:19" s="217" customFormat="1" hidden="1">
      <c r="A63" s="229"/>
      <c r="B63" s="246" t="s">
        <v>398</v>
      </c>
      <c r="C63" s="230"/>
      <c r="D63" s="230">
        <f>D62</f>
        <v>0</v>
      </c>
      <c r="E63" s="231"/>
      <c r="F63" s="247" t="s">
        <v>383</v>
      </c>
      <c r="G63" s="261">
        <v>6.58</v>
      </c>
      <c r="H63" s="232"/>
      <c r="I63" s="232">
        <f>I62</f>
        <v>7</v>
      </c>
      <c r="J63" s="232"/>
      <c r="K63" s="232"/>
      <c r="L63" s="232"/>
      <c r="M63" s="232">
        <f>ROUND(G63*I63*D63,2)</f>
        <v>0</v>
      </c>
      <c r="N63" s="248">
        <f>M63</f>
        <v>0</v>
      </c>
      <c r="O63" s="109" t="s">
        <v>364</v>
      </c>
      <c r="Q63" s="24" t="s">
        <v>419</v>
      </c>
      <c r="R63" s="160">
        <f>5.43*0.75</f>
        <v>4.0724999999999998</v>
      </c>
      <c r="S63" s="161" t="s">
        <v>218</v>
      </c>
    </row>
    <row r="64" spans="1:19" s="217" customFormat="1" hidden="1">
      <c r="A64" s="229"/>
      <c r="B64" s="246" t="s">
        <v>399</v>
      </c>
      <c r="C64" s="230"/>
      <c r="D64" s="230">
        <f>D63</f>
        <v>0</v>
      </c>
      <c r="E64" s="231"/>
      <c r="F64" s="247" t="s">
        <v>383</v>
      </c>
      <c r="G64" s="261">
        <v>7.61</v>
      </c>
      <c r="H64" s="232"/>
      <c r="I64" s="232">
        <f>I63+1</f>
        <v>8</v>
      </c>
      <c r="J64" s="232"/>
      <c r="K64" s="232"/>
      <c r="L64" s="232"/>
      <c r="M64" s="232">
        <f>ROUND(G64*I64*D64,2)</f>
        <v>0</v>
      </c>
      <c r="N64" s="248">
        <f>M64</f>
        <v>0</v>
      </c>
      <c r="O64" s="109" t="s">
        <v>364</v>
      </c>
      <c r="Q64" s="24" t="s">
        <v>420</v>
      </c>
      <c r="R64" s="160">
        <f>6.58*0.75</f>
        <v>4.9350000000000005</v>
      </c>
      <c r="S64" s="161" t="s">
        <v>218</v>
      </c>
    </row>
    <row r="65" spans="1:19" s="310" customFormat="1" hidden="1">
      <c r="A65" s="308"/>
      <c r="B65" s="302" t="s">
        <v>395</v>
      </c>
      <c r="C65" s="303"/>
      <c r="D65" s="304">
        <v>0</v>
      </c>
      <c r="E65" s="305">
        <f>J4</f>
        <v>3.5</v>
      </c>
      <c r="F65" s="309">
        <f>F39</f>
        <v>0.15240000000000001</v>
      </c>
      <c r="G65" s="304"/>
      <c r="H65" s="304"/>
      <c r="I65" s="304">
        <f>J9</f>
        <v>6</v>
      </c>
      <c r="J65" s="304"/>
      <c r="K65" s="304"/>
      <c r="L65" s="304"/>
      <c r="M65" s="304">
        <f>ROUND(E65*F65*I65*D65,2)</f>
        <v>0</v>
      </c>
      <c r="N65" s="306">
        <f>M65</f>
        <v>0</v>
      </c>
      <c r="O65" s="307" t="s">
        <v>364</v>
      </c>
      <c r="Q65" s="311" t="s">
        <v>421</v>
      </c>
      <c r="R65" s="312">
        <f>7.61*(0.75+1)</f>
        <v>13.317500000000001</v>
      </c>
      <c r="S65" s="313" t="s">
        <v>218</v>
      </c>
    </row>
    <row r="66" spans="1:19" s="217" customFormat="1">
      <c r="A66" s="229"/>
      <c r="B66" s="246"/>
      <c r="C66" s="230"/>
      <c r="D66" s="230"/>
      <c r="E66" s="231"/>
      <c r="F66" s="247"/>
      <c r="G66" s="232"/>
      <c r="H66" s="232"/>
      <c r="I66" s="232"/>
      <c r="J66" s="232"/>
      <c r="K66" s="232"/>
      <c r="L66" s="232"/>
      <c r="M66" s="232"/>
      <c r="N66" s="248"/>
      <c r="O66" s="109"/>
    </row>
    <row r="67" spans="1:19" s="217" customFormat="1" ht="26.4">
      <c r="A67" s="229" t="s">
        <v>565</v>
      </c>
      <c r="B67" s="229" t="s">
        <v>602</v>
      </c>
      <c r="C67" s="230" t="s">
        <v>28</v>
      </c>
      <c r="D67" s="230"/>
      <c r="E67" s="231"/>
      <c r="F67" s="231"/>
      <c r="G67" s="244"/>
      <c r="H67" s="244"/>
      <c r="I67" s="244"/>
      <c r="J67" s="244"/>
      <c r="K67" s="244"/>
      <c r="L67" s="244"/>
      <c r="M67" s="232"/>
      <c r="N67" s="233">
        <f>SUM(N68)</f>
        <v>144</v>
      </c>
      <c r="O67" s="218" t="s">
        <v>28</v>
      </c>
    </row>
    <row r="68" spans="1:19" s="217" customFormat="1">
      <c r="A68" s="229"/>
      <c r="B68" s="246" t="s">
        <v>536</v>
      </c>
      <c r="C68" s="230"/>
      <c r="D68" s="232">
        <f>M7</f>
        <v>12</v>
      </c>
      <c r="E68" s="231">
        <f>J8+J9</f>
        <v>12</v>
      </c>
      <c r="F68" s="247"/>
      <c r="G68" s="261"/>
      <c r="H68" s="232"/>
      <c r="I68" s="232"/>
      <c r="J68" s="232"/>
      <c r="K68" s="232"/>
      <c r="L68" s="232"/>
      <c r="M68" s="232"/>
      <c r="N68" s="248">
        <f>ROUND(D68*E68,2)</f>
        <v>144</v>
      </c>
      <c r="O68" s="109" t="s">
        <v>28</v>
      </c>
      <c r="Q68" s="24" t="s">
        <v>418</v>
      </c>
      <c r="R68" s="160">
        <f>4.16*0.75</f>
        <v>3.12</v>
      </c>
      <c r="S68" s="161" t="s">
        <v>218</v>
      </c>
    </row>
    <row r="69" spans="1:19" s="217" customFormat="1">
      <c r="A69" s="229"/>
      <c r="B69" s="246"/>
      <c r="C69" s="230"/>
      <c r="D69" s="230"/>
      <c r="E69" s="231"/>
      <c r="F69" s="247"/>
      <c r="G69" s="232"/>
      <c r="H69" s="232"/>
      <c r="I69" s="232"/>
      <c r="J69" s="232"/>
      <c r="K69" s="232"/>
      <c r="L69" s="232"/>
      <c r="M69" s="232"/>
      <c r="N69" s="248"/>
      <c r="O69" s="109"/>
    </row>
    <row r="70" spans="1:19" s="217" customFormat="1">
      <c r="A70" s="229" t="s">
        <v>583</v>
      </c>
      <c r="B70" s="229" t="s">
        <v>538</v>
      </c>
      <c r="C70" s="230" t="s">
        <v>28</v>
      </c>
      <c r="D70" s="230"/>
      <c r="E70" s="231"/>
      <c r="F70" s="231"/>
      <c r="G70" s="244"/>
      <c r="H70" s="244"/>
      <c r="I70" s="244"/>
      <c r="J70" s="244"/>
      <c r="K70" s="244"/>
      <c r="L70" s="244"/>
      <c r="M70" s="232"/>
      <c r="N70" s="233">
        <f>SUM(N71:N71)</f>
        <v>44.64</v>
      </c>
      <c r="O70" s="218" t="s">
        <v>28</v>
      </c>
    </row>
    <row r="71" spans="1:19" s="217" customFormat="1">
      <c r="A71" s="229"/>
      <c r="B71" s="246" t="s">
        <v>539</v>
      </c>
      <c r="C71" s="230"/>
      <c r="D71" s="232">
        <f>2*J7</f>
        <v>8</v>
      </c>
      <c r="E71" s="231">
        <v>5.58</v>
      </c>
      <c r="F71" s="314" t="s">
        <v>383</v>
      </c>
      <c r="G71" s="261"/>
      <c r="H71" s="232"/>
      <c r="I71" s="232"/>
      <c r="J71" s="232"/>
      <c r="K71" s="232"/>
      <c r="L71" s="232"/>
      <c r="M71" s="232"/>
      <c r="N71" s="248">
        <f>ROUND(D71*E71,2)</f>
        <v>44.64</v>
      </c>
      <c r="O71" s="109" t="s">
        <v>28</v>
      </c>
      <c r="Q71" s="24" t="s">
        <v>418</v>
      </c>
      <c r="R71" s="160">
        <f>4.16*0.75</f>
        <v>3.12</v>
      </c>
      <c r="S71" s="161" t="s">
        <v>218</v>
      </c>
    </row>
    <row r="72" spans="1:19" s="217" customFormat="1">
      <c r="A72" s="229"/>
      <c r="B72" s="246"/>
      <c r="C72" s="230"/>
      <c r="D72" s="230"/>
      <c r="E72" s="231"/>
      <c r="F72" s="247"/>
      <c r="G72" s="232"/>
      <c r="H72" s="232"/>
      <c r="I72" s="232"/>
      <c r="J72" s="232"/>
      <c r="K72" s="232"/>
      <c r="L72" s="232"/>
      <c r="M72" s="232"/>
      <c r="N72" s="248"/>
      <c r="O72" s="109"/>
    </row>
    <row r="73" spans="1:19" ht="42.6" customHeight="1">
      <c r="A73" s="330">
        <v>4</v>
      </c>
      <c r="B73" s="330" t="s">
        <v>373</v>
      </c>
      <c r="C73" s="227" t="s">
        <v>22</v>
      </c>
      <c r="D73" s="227" t="s">
        <v>7</v>
      </c>
      <c r="E73" s="227" t="s">
        <v>387</v>
      </c>
      <c r="F73" s="228" t="s">
        <v>441</v>
      </c>
      <c r="G73" s="228" t="s">
        <v>386</v>
      </c>
      <c r="H73" s="228" t="s">
        <v>440</v>
      </c>
      <c r="I73" s="228" t="s">
        <v>394</v>
      </c>
      <c r="J73" s="228" t="s">
        <v>400</v>
      </c>
      <c r="K73" s="228" t="s">
        <v>442</v>
      </c>
      <c r="L73" s="228" t="s">
        <v>384</v>
      </c>
      <c r="M73" s="228" t="s">
        <v>385</v>
      </c>
      <c r="N73" s="228" t="s">
        <v>10</v>
      </c>
    </row>
    <row r="74" spans="1:19" s="217" customFormat="1" ht="18.600000000000001" customHeight="1">
      <c r="A74" s="229" t="s">
        <v>43</v>
      </c>
      <c r="B74" s="229" t="s">
        <v>582</v>
      </c>
      <c r="C74" s="230" t="s">
        <v>28</v>
      </c>
      <c r="D74" s="230"/>
      <c r="E74" s="231"/>
      <c r="F74" s="231"/>
      <c r="G74" s="244"/>
      <c r="H74" s="244"/>
      <c r="I74" s="244"/>
      <c r="J74" s="244"/>
      <c r="K74" s="244"/>
      <c r="L74" s="244"/>
      <c r="M74" s="232"/>
      <c r="N74" s="233">
        <f>SUM(N75:N76)</f>
        <v>421</v>
      </c>
      <c r="O74" s="218" t="s">
        <v>28</v>
      </c>
    </row>
    <row r="75" spans="1:19" s="217" customFormat="1">
      <c r="A75" s="229"/>
      <c r="B75" s="246" t="s">
        <v>604</v>
      </c>
      <c r="C75" s="230"/>
      <c r="D75" s="230">
        <v>20</v>
      </c>
      <c r="E75" s="231">
        <f>J3+(0.15+0.15)</f>
        <v>19.3</v>
      </c>
      <c r="F75" s="247"/>
      <c r="G75" s="244"/>
      <c r="H75" s="232"/>
      <c r="I75" s="232"/>
      <c r="J75" s="232"/>
      <c r="K75" s="232"/>
      <c r="L75" s="232"/>
      <c r="M75" s="232"/>
      <c r="N75" s="248">
        <f>ROUND(D75*E75,2)</f>
        <v>386</v>
      </c>
      <c r="O75" s="109" t="s">
        <v>28</v>
      </c>
    </row>
    <row r="76" spans="1:19" s="217" customFormat="1">
      <c r="A76" s="229"/>
      <c r="B76" s="246" t="s">
        <v>408</v>
      </c>
      <c r="C76" s="230"/>
      <c r="D76" s="323">
        <f>(2*J7)+J6</f>
        <v>10</v>
      </c>
      <c r="E76" s="231">
        <f>E65</f>
        <v>3.5</v>
      </c>
      <c r="F76" s="247"/>
      <c r="G76" s="244"/>
      <c r="H76" s="232"/>
      <c r="I76" s="232"/>
      <c r="J76" s="232"/>
      <c r="K76" s="232"/>
      <c r="L76" s="232"/>
      <c r="M76" s="232"/>
      <c r="N76" s="248">
        <f>ROUND(D76*E76,2)</f>
        <v>35</v>
      </c>
      <c r="O76" s="109" t="s">
        <v>28</v>
      </c>
    </row>
    <row r="77" spans="1:19" s="217" customFormat="1">
      <c r="A77" s="229"/>
      <c r="B77" s="246"/>
      <c r="C77" s="230"/>
      <c r="D77" s="230"/>
      <c r="E77" s="231"/>
      <c r="F77" s="247"/>
      <c r="G77" s="244"/>
      <c r="H77" s="232"/>
      <c r="I77" s="232"/>
      <c r="J77" s="232"/>
      <c r="K77" s="232"/>
      <c r="L77" s="232"/>
      <c r="M77" s="232"/>
      <c r="N77" s="248"/>
      <c r="O77" s="109"/>
    </row>
    <row r="78" spans="1:19" s="217" customFormat="1" ht="30" customHeight="1">
      <c r="A78" s="229" t="s">
        <v>44</v>
      </c>
      <c r="B78" s="229" t="s">
        <v>374</v>
      </c>
      <c r="C78" s="230" t="s">
        <v>60</v>
      </c>
      <c r="D78" s="230">
        <v>48</v>
      </c>
      <c r="E78" s="231"/>
      <c r="F78" s="231"/>
      <c r="G78" s="244"/>
      <c r="H78" s="244"/>
      <c r="I78" s="244"/>
      <c r="J78" s="244"/>
      <c r="K78" s="244"/>
      <c r="L78" s="244"/>
      <c r="M78" s="232"/>
      <c r="N78" s="233">
        <f>D78</f>
        <v>48</v>
      </c>
      <c r="O78" s="218" t="s">
        <v>60</v>
      </c>
    </row>
    <row r="79" spans="1:19" s="217" customFormat="1">
      <c r="A79" s="229"/>
      <c r="B79" s="229"/>
      <c r="C79" s="230"/>
      <c r="D79" s="230"/>
      <c r="E79" s="231"/>
      <c r="F79" s="231"/>
      <c r="G79" s="244"/>
      <c r="H79" s="244"/>
      <c r="I79" s="244"/>
      <c r="J79" s="244"/>
      <c r="K79" s="244"/>
      <c r="L79" s="244"/>
      <c r="M79" s="232"/>
      <c r="N79" s="233"/>
      <c r="O79" s="218"/>
    </row>
    <row r="80" spans="1:19" s="217" customFormat="1" ht="66" hidden="1">
      <c r="A80" s="229" t="s">
        <v>566</v>
      </c>
      <c r="B80" s="229" t="s">
        <v>615</v>
      </c>
      <c r="C80" s="230" t="s">
        <v>355</v>
      </c>
      <c r="D80" s="230"/>
      <c r="E80" s="231">
        <f>ROUND(E75*E76,2)</f>
        <v>67.55</v>
      </c>
      <c r="F80" s="231"/>
      <c r="G80" s="244"/>
      <c r="H80" s="244"/>
      <c r="I80" s="244"/>
      <c r="J80" s="244"/>
      <c r="K80" s="244"/>
      <c r="L80" s="244"/>
      <c r="M80" s="232"/>
      <c r="N80" s="233"/>
      <c r="O80" s="218" t="s">
        <v>355</v>
      </c>
    </row>
    <row r="81" spans="1:15" s="217" customFormat="1" hidden="1">
      <c r="A81" s="229"/>
      <c r="B81" s="229"/>
      <c r="C81" s="230"/>
      <c r="D81" s="230"/>
      <c r="E81" s="231"/>
      <c r="F81" s="231"/>
      <c r="G81" s="244"/>
      <c r="H81" s="244"/>
      <c r="I81" s="244"/>
      <c r="J81" s="244"/>
      <c r="K81" s="244"/>
      <c r="L81" s="244"/>
      <c r="M81" s="232"/>
      <c r="N81" s="233"/>
      <c r="O81" s="218"/>
    </row>
    <row r="82" spans="1:15" s="217" customFormat="1" ht="52.8">
      <c r="A82" s="229" t="s">
        <v>618</v>
      </c>
      <c r="B82" s="229" t="s">
        <v>375</v>
      </c>
      <c r="C82" s="230" t="s">
        <v>28</v>
      </c>
      <c r="D82" s="230">
        <v>2</v>
      </c>
      <c r="E82" s="231">
        <f>E75</f>
        <v>19.3</v>
      </c>
      <c r="F82" s="231"/>
      <c r="G82" s="244"/>
      <c r="H82" s="244"/>
      <c r="I82" s="244"/>
      <c r="J82" s="244"/>
      <c r="K82" s="244"/>
      <c r="L82" s="244"/>
      <c r="M82" s="232"/>
      <c r="N82" s="233">
        <f>ROUND(E82*D82,2)</f>
        <v>38.6</v>
      </c>
      <c r="O82" s="218" t="s">
        <v>28</v>
      </c>
    </row>
    <row r="83" spans="1:15" s="217" customFormat="1">
      <c r="A83" s="229"/>
      <c r="B83" s="229"/>
      <c r="C83" s="230"/>
      <c r="D83" s="230"/>
      <c r="E83" s="231"/>
      <c r="F83" s="231"/>
      <c r="G83" s="244"/>
      <c r="H83" s="244"/>
      <c r="I83" s="244"/>
      <c r="J83" s="244"/>
      <c r="K83" s="244"/>
      <c r="L83" s="244"/>
      <c r="M83" s="232"/>
      <c r="N83" s="233"/>
      <c r="O83" s="218"/>
    </row>
    <row r="84" spans="1:15" ht="42" customHeight="1">
      <c r="A84" s="330">
        <v>5</v>
      </c>
      <c r="B84" s="330" t="s">
        <v>376</v>
      </c>
      <c r="C84" s="227" t="s">
        <v>22</v>
      </c>
      <c r="D84" s="227" t="s">
        <v>7</v>
      </c>
      <c r="E84" s="227" t="s">
        <v>387</v>
      </c>
      <c r="F84" s="228" t="s">
        <v>441</v>
      </c>
      <c r="G84" s="228" t="s">
        <v>386</v>
      </c>
      <c r="H84" s="228" t="s">
        <v>440</v>
      </c>
      <c r="I84" s="228" t="s">
        <v>394</v>
      </c>
      <c r="J84" s="228" t="s">
        <v>400</v>
      </c>
      <c r="K84" s="228" t="s">
        <v>442</v>
      </c>
      <c r="L84" s="228" t="s">
        <v>384</v>
      </c>
      <c r="M84" s="228" t="s">
        <v>385</v>
      </c>
      <c r="N84" s="228" t="s">
        <v>10</v>
      </c>
    </row>
    <row r="85" spans="1:15" s="217" customFormat="1" ht="30" customHeight="1">
      <c r="A85" s="229" t="s">
        <v>45</v>
      </c>
      <c r="B85" s="229" t="s">
        <v>377</v>
      </c>
      <c r="C85" s="230" t="s">
        <v>355</v>
      </c>
      <c r="D85" s="230"/>
      <c r="E85" s="231">
        <f>E75</f>
        <v>19.3</v>
      </c>
      <c r="F85" s="231">
        <f>E76</f>
        <v>3.5</v>
      </c>
      <c r="G85" s="244">
        <f>ROUND(E85*F85,2)</f>
        <v>67.55</v>
      </c>
      <c r="H85" s="244"/>
      <c r="I85" s="244"/>
      <c r="J85" s="244"/>
      <c r="K85" s="244"/>
      <c r="L85" s="244"/>
      <c r="M85" s="232"/>
      <c r="N85" s="233">
        <f>G85</f>
        <v>67.55</v>
      </c>
      <c r="O85" s="218" t="s">
        <v>355</v>
      </c>
    </row>
    <row r="86" spans="1:15" s="217" customFormat="1">
      <c r="A86" s="229"/>
      <c r="B86" s="229"/>
      <c r="C86" s="230"/>
      <c r="D86" s="230"/>
      <c r="E86" s="231"/>
      <c r="F86" s="231"/>
      <c r="G86" s="244"/>
      <c r="H86" s="244"/>
      <c r="I86" s="244"/>
      <c r="J86" s="244"/>
      <c r="K86" s="244"/>
      <c r="L86" s="244"/>
      <c r="M86" s="232"/>
      <c r="N86" s="233"/>
      <c r="O86" s="218"/>
    </row>
    <row r="87" spans="1:15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</row>
    <row r="88" spans="1:15">
      <c r="A88" s="214"/>
      <c r="B88" s="213"/>
      <c r="C88" s="214"/>
      <c r="D88" s="214"/>
      <c r="E88" s="491"/>
      <c r="F88" s="488"/>
      <c r="G88" s="487"/>
      <c r="H88" s="487"/>
      <c r="I88" s="487"/>
      <c r="J88" s="487"/>
      <c r="K88" s="487"/>
      <c r="L88" s="487"/>
      <c r="M88" s="488"/>
      <c r="N88" s="488"/>
    </row>
    <row r="89" spans="1:15">
      <c r="A89" s="214"/>
      <c r="B89" s="213"/>
      <c r="C89" s="214"/>
      <c r="D89" s="214"/>
      <c r="E89" s="491"/>
      <c r="F89" s="488"/>
      <c r="G89" s="487"/>
      <c r="H89" s="487"/>
      <c r="I89" s="487"/>
      <c r="J89" s="487"/>
      <c r="K89" s="487"/>
      <c r="L89" s="487"/>
      <c r="M89" s="488"/>
      <c r="N89" s="488"/>
    </row>
    <row r="90" spans="1:15">
      <c r="A90" s="214"/>
      <c r="B90" s="213"/>
      <c r="C90" s="214"/>
      <c r="D90" s="214"/>
      <c r="E90" s="491"/>
      <c r="F90" s="488"/>
      <c r="G90" s="487"/>
      <c r="H90" s="487"/>
      <c r="I90" s="487"/>
      <c r="J90" s="487"/>
      <c r="K90" s="487"/>
      <c r="L90" s="487"/>
      <c r="M90" s="488"/>
      <c r="N90" s="488"/>
    </row>
    <row r="91" spans="1:15" ht="60" customHeight="1">
      <c r="A91" s="215"/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</row>
    <row r="92" spans="1:15" ht="70.2" customHeight="1">
      <c r="A92" s="489" t="s">
        <v>378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</row>
  </sheetData>
  <mergeCells count="8">
    <mergeCell ref="A92:N92"/>
    <mergeCell ref="A1:N1"/>
    <mergeCell ref="E88:F88"/>
    <mergeCell ref="G88:N88"/>
    <mergeCell ref="E89:F89"/>
    <mergeCell ref="G89:N89"/>
    <mergeCell ref="E90:F90"/>
    <mergeCell ref="G90:N90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>&amp;L &amp;C &amp;R</oddHeader>
    <oddFooter>&amp;L &amp;C
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40</vt:i4>
      </vt:variant>
      <vt:variant>
        <vt:lpstr>Intervalos Nomeados</vt:lpstr>
      </vt:variant>
      <vt:variant>
        <vt:i4>51</vt:i4>
      </vt:variant>
    </vt:vector>
  </HeadingPairs>
  <TitlesOfParts>
    <vt:vector size="91" baseType="lpstr">
      <vt:lpstr>Resumo do Orçamento</vt:lpstr>
      <vt:lpstr>Serviços Preliminares</vt:lpstr>
      <vt:lpstr>MC - Serviços Preliminares</vt:lpstr>
      <vt:lpstr>Orçamento Ata Pontes</vt:lpstr>
      <vt:lpstr>MC - Pov. Cigana</vt:lpstr>
      <vt:lpstr>Orçamento - Santa Rosa</vt:lpstr>
      <vt:lpstr>MC - Santa Rosa</vt:lpstr>
      <vt:lpstr>Orçamento - Baixão dos Julios</vt:lpstr>
      <vt:lpstr>MC - Baixão dos Julios</vt:lpstr>
      <vt:lpstr>Orçamento - Santa Maria</vt:lpstr>
      <vt:lpstr>MC - Santa Maria</vt:lpstr>
      <vt:lpstr>Orçamento - Piquizeiro</vt:lpstr>
      <vt:lpstr>MC - Piquizeiro</vt:lpstr>
      <vt:lpstr>Orçamento - Santo Inácio</vt:lpstr>
      <vt:lpstr>MC - Santo Inácio</vt:lpstr>
      <vt:lpstr>Orçamento - Sucuruju</vt:lpstr>
      <vt:lpstr>MC - Sucuruju</vt:lpstr>
      <vt:lpstr>Orçamento - Cedro</vt:lpstr>
      <vt:lpstr>MC - Cedro</vt:lpstr>
      <vt:lpstr>Orçamento - Anibal</vt:lpstr>
      <vt:lpstr>MC - Anibal</vt:lpstr>
      <vt:lpstr>Orçamento - Massagano I</vt:lpstr>
      <vt:lpstr>MC - Massagano I</vt:lpstr>
      <vt:lpstr>Orçamento - Bacabal</vt:lpstr>
      <vt:lpstr>MC - Bacabal</vt:lpstr>
      <vt:lpstr>Orçamento - S.J. das Varas</vt:lpstr>
      <vt:lpstr>MC - S.J. das Varas</vt:lpstr>
      <vt:lpstr>ORCAMENTO</vt:lpstr>
      <vt:lpstr>MEMORIA DE CALCULO</vt:lpstr>
      <vt:lpstr>COMPOSIÇÃO DE PREÇO UNITÁRIO</vt:lpstr>
      <vt:lpstr>Orçamento - Varas</vt:lpstr>
      <vt:lpstr>MC - Varas</vt:lpstr>
      <vt:lpstr>Orçamento - Mamede</vt:lpstr>
      <vt:lpstr>MC - Mamede</vt:lpstr>
      <vt:lpstr>MC - PONTE DE MADEIRA</vt:lpstr>
      <vt:lpstr>MEMÓRIA APOIO - PONE DE MADEIRA</vt:lpstr>
      <vt:lpstr>CPUs</vt:lpstr>
      <vt:lpstr>Cronograma</vt:lpstr>
      <vt:lpstr>ENCARGOS</vt:lpstr>
      <vt:lpstr>BDI </vt:lpstr>
      <vt:lpstr>'BDI '!Area_de_impressao</vt:lpstr>
      <vt:lpstr>'COMPOSIÇÃO DE PREÇO UNITÁRIO'!Area_de_impressao</vt:lpstr>
      <vt:lpstr>CPUs!Area_de_impressao</vt:lpstr>
      <vt:lpstr>Cronograma!Area_de_impressao</vt:lpstr>
      <vt:lpstr>ENCARGOS!Area_de_impressao</vt:lpstr>
      <vt:lpstr>'MC - Anibal'!Area_de_impressao</vt:lpstr>
      <vt:lpstr>'MC - Bacabal'!Area_de_impressao</vt:lpstr>
      <vt:lpstr>'MC - Baixão dos Julios'!Area_de_impressao</vt:lpstr>
      <vt:lpstr>'MC - Cedro'!Area_de_impressao</vt:lpstr>
      <vt:lpstr>'MC - Mamede'!Area_de_impressao</vt:lpstr>
      <vt:lpstr>'MC - Massagano I'!Area_de_impressao</vt:lpstr>
      <vt:lpstr>'MC - Piquizeiro'!Area_de_impressao</vt:lpstr>
      <vt:lpstr>'MC - PONTE DE MADEIRA'!Area_de_impressao</vt:lpstr>
      <vt:lpstr>'MC - Pov. Cigana'!Area_de_impressao</vt:lpstr>
      <vt:lpstr>'MC - S.J. das Varas'!Area_de_impressao</vt:lpstr>
      <vt:lpstr>'MC - Santa Maria'!Area_de_impressao</vt:lpstr>
      <vt:lpstr>'MC - Santa Rosa'!Area_de_impressao</vt:lpstr>
      <vt:lpstr>'MC - Santo Inácio'!Area_de_impressao</vt:lpstr>
      <vt:lpstr>'MC - Serviços Preliminares'!Area_de_impressao</vt:lpstr>
      <vt:lpstr>'MC - Sucuruju'!Area_de_impressao</vt:lpstr>
      <vt:lpstr>'MC - Varas'!Area_de_impressao</vt:lpstr>
      <vt:lpstr>'MEMÓRIA APOIO - PONE DE MADEIRA'!Area_de_impressao</vt:lpstr>
      <vt:lpstr>'MEMORIA DE CALCULO'!Area_de_impressao</vt:lpstr>
      <vt:lpstr>ORCAMENTO!Area_de_impressao</vt:lpstr>
      <vt:lpstr>'Orçamento - Anibal'!Area_de_impressao</vt:lpstr>
      <vt:lpstr>'Orçamento - Bacabal'!Area_de_impressao</vt:lpstr>
      <vt:lpstr>'Orçamento - Baixão dos Julios'!Area_de_impressao</vt:lpstr>
      <vt:lpstr>'Orçamento - Cedro'!Area_de_impressao</vt:lpstr>
      <vt:lpstr>'Orçamento - Mamede'!Area_de_impressao</vt:lpstr>
      <vt:lpstr>'Orçamento - Massagano I'!Area_de_impressao</vt:lpstr>
      <vt:lpstr>'Orçamento - Piquizeiro'!Area_de_impressao</vt:lpstr>
      <vt:lpstr>'Orçamento - S.J. das Varas'!Area_de_impressao</vt:lpstr>
      <vt:lpstr>'Orçamento - Santa Maria'!Area_de_impressao</vt:lpstr>
      <vt:lpstr>'Orçamento - Santa Rosa'!Area_de_impressao</vt:lpstr>
      <vt:lpstr>'Orçamento - Santo Inácio'!Area_de_impressao</vt:lpstr>
      <vt:lpstr>'Orçamento - Sucuruju'!Area_de_impressao</vt:lpstr>
      <vt:lpstr>'Orçamento - Varas'!Area_de_impressao</vt:lpstr>
      <vt:lpstr>'Orçamento Ata Pontes'!Area_de_impressao</vt:lpstr>
      <vt:lpstr>'Resumo do Orçamento'!Area_de_impressao</vt:lpstr>
      <vt:lpstr>'Serviços Preliminares'!Area_de_impressao</vt:lpstr>
      <vt:lpstr>'COMPOSIÇÃO DE PREÇO UNITÁRIO'!Titulos_de_impressao</vt:lpstr>
      <vt:lpstr>CPUs!Titulos_de_impressao</vt:lpstr>
      <vt:lpstr>'MC - Baixão dos Julios'!Titulos_de_impressao</vt:lpstr>
      <vt:lpstr>'MC - PONTE DE MADEIRA'!Titulos_de_impressao</vt:lpstr>
      <vt:lpstr>'MC - Pov. Cigana'!Titulos_de_impressao</vt:lpstr>
      <vt:lpstr>'MC - S.J. das Varas'!Titulos_de_impressao</vt:lpstr>
      <vt:lpstr>'MC - Santa Rosa'!Titulos_de_impressao</vt:lpstr>
      <vt:lpstr>'MC - Serviços Preliminares'!Titulos_de_impressao</vt:lpstr>
      <vt:lpstr>'MC - Varas'!Titulos_de_impressao</vt:lpstr>
      <vt:lpstr>'MEMORIA DE CALCULO'!Titulos_de_impressao</vt:lpstr>
      <vt:lpstr>'Orçamento Ata Pontes'!Titulos_de_impressao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Karolayne Belfort</dc:creator>
  <cp:lastModifiedBy>Raulifran Silva</cp:lastModifiedBy>
  <cp:lastPrinted>2023-03-16T16:56:49Z</cp:lastPrinted>
  <dcterms:created xsi:type="dcterms:W3CDTF">2015-06-05T18:19:34Z</dcterms:created>
  <dcterms:modified xsi:type="dcterms:W3CDTF">2023-04-25T20:52:04Z</dcterms:modified>
</cp:coreProperties>
</file>